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B\external\!publish\Forest Health\Detailed and Aerial Overview flight data\2019 Data\AerialOverviewSurvey 2017-19 FH GeoRef Maps\"/>
    </mc:Choice>
  </mc:AlternateContent>
  <xr:revisionPtr revIDLastSave="0" documentId="13_ncr:1_{92887BC8-5F04-4840-AAFA-0C7AB84F3A61}" xr6:coauthVersionLast="45" xr6:coauthVersionMax="45" xr10:uidLastSave="{00000000-0000-0000-0000-000000000000}"/>
  <bookViews>
    <workbookView xWindow="-108" yWindow="-108" windowWidth="23256" windowHeight="12576" tabRatio="565" xr2:uid="{00000000-000D-0000-FFFF-FFFF00000000}"/>
  </bookViews>
  <sheets>
    <sheet name="IBM IBD IBS Poly 2017" sheetId="8" r:id="rId1"/>
    <sheet name="IBM IBD IBS Harvest Data 2017" sheetId="9" r:id="rId2"/>
    <sheet name="IBM IBD IBS NW Poly 2018" sheetId="10" r:id="rId3"/>
    <sheet name="IBM IBD IBS NWHarvest Data 2018" sheetId="11" r:id="rId4"/>
    <sheet name="IBM IBD Poly 2019" sheetId="12" r:id="rId5"/>
    <sheet name="IBM IBD Harvest Data 2019" sheetId="13" r:id="rId6"/>
  </sheets>
  <definedNames>
    <definedName name="_xlnm.Database" localSheetId="5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1" i="12" l="1"/>
  <c r="J17" i="13"/>
  <c r="J11" i="13"/>
  <c r="J20" i="13" s="1"/>
  <c r="J5" i="13"/>
  <c r="E91" i="13" l="1"/>
  <c r="E87" i="13"/>
  <c r="E80" i="13"/>
  <c r="E74" i="13"/>
  <c r="E71" i="13"/>
  <c r="E67" i="13"/>
  <c r="E61" i="13"/>
  <c r="E56" i="13"/>
  <c r="E48" i="13"/>
  <c r="E93" i="13" s="1"/>
  <c r="K79" i="8"/>
  <c r="E31" i="13"/>
  <c r="E28" i="13"/>
  <c r="E25" i="13"/>
  <c r="E19" i="13"/>
  <c r="E18" i="13"/>
  <c r="E17" i="13"/>
  <c r="E11" i="13"/>
  <c r="E7" i="13"/>
  <c r="E6" i="13"/>
  <c r="E5" i="13"/>
  <c r="E4" i="13"/>
  <c r="E8" i="13" s="1"/>
  <c r="E20" i="13" l="1"/>
  <c r="E34" i="13" s="1"/>
  <c r="P3" i="12"/>
  <c r="P4" i="12"/>
  <c r="V24" i="12" l="1"/>
  <c r="U24" i="12"/>
  <c r="T24" i="12"/>
  <c r="S24" i="12"/>
  <c r="R24" i="12"/>
  <c r="Q24" i="12"/>
  <c r="O24" i="12"/>
  <c r="N24" i="12"/>
  <c r="L24" i="12"/>
  <c r="K24" i="12"/>
  <c r="J24" i="12"/>
  <c r="H24" i="12"/>
  <c r="F24" i="12"/>
  <c r="D24" i="12"/>
  <c r="V86" i="12"/>
  <c r="U86" i="12"/>
  <c r="T86" i="12"/>
  <c r="S86" i="12"/>
  <c r="R86" i="12"/>
  <c r="Q86" i="12"/>
  <c r="O86" i="12"/>
  <c r="N86" i="12"/>
  <c r="L86" i="12"/>
  <c r="K86" i="12"/>
  <c r="J86" i="12"/>
  <c r="H86" i="12"/>
  <c r="F86" i="12"/>
  <c r="D86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W24" i="12" l="1"/>
  <c r="P24" i="12"/>
  <c r="W85" i="12"/>
  <c r="W84" i="12"/>
  <c r="W83" i="12"/>
  <c r="W82" i="12"/>
  <c r="W81" i="12"/>
  <c r="W80" i="12"/>
  <c r="W79" i="12"/>
  <c r="W78" i="12"/>
  <c r="W77" i="12"/>
  <c r="W76" i="12"/>
  <c r="W75" i="12"/>
  <c r="W74" i="12"/>
  <c r="W73" i="12"/>
  <c r="W72" i="12"/>
  <c r="W71" i="12"/>
  <c r="W70" i="12"/>
  <c r="W69" i="12"/>
  <c r="W68" i="12"/>
  <c r="W67" i="12"/>
  <c r="W66" i="12"/>
  <c r="W65" i="12"/>
  <c r="W64" i="12"/>
  <c r="W63" i="12"/>
  <c r="W62" i="12"/>
  <c r="W61" i="12"/>
  <c r="W60" i="12"/>
  <c r="W59" i="12"/>
  <c r="W58" i="12"/>
  <c r="W57" i="12"/>
  <c r="W56" i="12"/>
  <c r="W55" i="12"/>
  <c r="W54" i="12"/>
  <c r="W53" i="12"/>
  <c r="W52" i="12"/>
  <c r="W51" i="12"/>
  <c r="W50" i="12"/>
  <c r="W49" i="12"/>
  <c r="W48" i="12"/>
  <c r="W47" i="12"/>
  <c r="W46" i="12"/>
  <c r="W45" i="12"/>
  <c r="W44" i="12"/>
  <c r="W43" i="12"/>
  <c r="P85" i="12"/>
  <c r="P84" i="12"/>
  <c r="P83" i="12"/>
  <c r="P82" i="12"/>
  <c r="P81" i="12"/>
  <c r="P80" i="12"/>
  <c r="P79" i="12"/>
  <c r="P78" i="12"/>
  <c r="P77" i="12"/>
  <c r="P76" i="12"/>
  <c r="P75" i="12"/>
  <c r="P74" i="12"/>
  <c r="P73" i="12"/>
  <c r="P72" i="12"/>
  <c r="P71" i="12"/>
  <c r="P70" i="12"/>
  <c r="P69" i="12"/>
  <c r="P68" i="12"/>
  <c r="P67" i="12"/>
  <c r="P66" i="12"/>
  <c r="P65" i="12"/>
  <c r="P64" i="12"/>
  <c r="P63" i="12"/>
  <c r="P62" i="12"/>
  <c r="P61" i="12"/>
  <c r="P60" i="12"/>
  <c r="P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W27" i="12"/>
  <c r="W42" i="12" l="1"/>
  <c r="W41" i="12"/>
  <c r="W40" i="12"/>
  <c r="W39" i="12"/>
  <c r="W38" i="12"/>
  <c r="W37" i="12"/>
  <c r="W36" i="12"/>
  <c r="W35" i="12"/>
  <c r="W34" i="12"/>
  <c r="W33" i="12"/>
  <c r="W32" i="12"/>
  <c r="W31" i="12"/>
  <c r="W30" i="12"/>
  <c r="W29" i="12"/>
  <c r="P27" i="12"/>
  <c r="P86" i="12" s="1"/>
  <c r="W28" i="12" l="1"/>
  <c r="W86" i="12" s="1"/>
  <c r="S24" i="10"/>
  <c r="W96" i="10" l="1"/>
  <c r="W95" i="10"/>
  <c r="W94" i="10"/>
  <c r="W93" i="10"/>
  <c r="W92" i="10"/>
  <c r="W91" i="10"/>
  <c r="W90" i="10"/>
  <c r="W89" i="10"/>
  <c r="V97" i="10"/>
  <c r="U97" i="10"/>
  <c r="T97" i="10"/>
  <c r="S97" i="10"/>
  <c r="R97" i="10"/>
  <c r="Q97" i="10"/>
  <c r="O97" i="10"/>
  <c r="P97" i="10"/>
  <c r="N97" i="10"/>
  <c r="L97" i="10"/>
  <c r="K97" i="10"/>
  <c r="J97" i="10"/>
  <c r="H97" i="10"/>
  <c r="F97" i="10"/>
  <c r="D97" i="10"/>
  <c r="W97" i="10" l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O73" i="10"/>
  <c r="O65" i="10"/>
  <c r="O53" i="10"/>
  <c r="O52" i="10"/>
  <c r="L73" i="10"/>
  <c r="L72" i="10"/>
  <c r="L69" i="10"/>
  <c r="J33" i="11"/>
  <c r="J30" i="11"/>
  <c r="J23" i="11"/>
  <c r="J34" i="11" s="1"/>
  <c r="K75" i="10"/>
  <c r="K73" i="10"/>
  <c r="K61" i="10"/>
  <c r="K54" i="10"/>
  <c r="E67" i="11"/>
  <c r="E76" i="11" s="1"/>
  <c r="E73" i="11"/>
  <c r="E70" i="11"/>
  <c r="E54" i="11"/>
  <c r="E48" i="11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O47" i="10"/>
  <c r="R20" i="10"/>
  <c r="R11" i="10"/>
  <c r="R10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  <c r="P4" i="10"/>
  <c r="P3" i="10"/>
  <c r="J8" i="11"/>
  <c r="J14" i="11"/>
  <c r="E20" i="11"/>
  <c r="K20" i="10"/>
  <c r="K10" i="10"/>
  <c r="E12" i="11"/>
  <c r="K9" i="10"/>
  <c r="E9" i="11"/>
  <c r="S29" i="10"/>
  <c r="R37" i="10"/>
  <c r="R34" i="10"/>
  <c r="E21" i="11" l="1"/>
  <c r="L41" i="10"/>
  <c r="J15" i="11"/>
  <c r="K41" i="10" l="1"/>
  <c r="E42" i="11"/>
  <c r="E36" i="11"/>
  <c r="K40" i="10"/>
  <c r="E32" i="11"/>
  <c r="K35" i="10"/>
  <c r="K34" i="10"/>
  <c r="K33" i="10"/>
  <c r="E28" i="11"/>
  <c r="E25" i="11"/>
  <c r="K30" i="10"/>
  <c r="R29" i="10"/>
  <c r="S28" i="10"/>
  <c r="P46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T27" i="10"/>
  <c r="P27" i="10"/>
  <c r="E44" i="11" l="1"/>
  <c r="R27" i="10"/>
  <c r="Q78" i="8"/>
  <c r="S46" i="10"/>
  <c r="W46" i="10" s="1"/>
  <c r="W85" i="10" l="1"/>
  <c r="W84" i="10"/>
  <c r="W83" i="10"/>
  <c r="W82" i="10"/>
  <c r="W81" i="10"/>
  <c r="W80" i="10"/>
  <c r="W79" i="10"/>
  <c r="W78" i="10"/>
  <c r="W77" i="10"/>
  <c r="W76" i="10"/>
  <c r="W75" i="10"/>
  <c r="W74" i="10"/>
  <c r="W73" i="10"/>
  <c r="W72" i="10"/>
  <c r="W71" i="10"/>
  <c r="W70" i="10"/>
  <c r="W69" i="10"/>
  <c r="W68" i="10"/>
  <c r="W67" i="10"/>
  <c r="W66" i="10"/>
  <c r="W65" i="10"/>
  <c r="W64" i="10"/>
  <c r="W63" i="10"/>
  <c r="W62" i="10"/>
  <c r="W61" i="10"/>
  <c r="W60" i="10"/>
  <c r="W59" i="10"/>
  <c r="W58" i="10"/>
  <c r="W57" i="10"/>
  <c r="W56" i="10"/>
  <c r="W55" i="10"/>
  <c r="W54" i="10"/>
  <c r="W53" i="10"/>
  <c r="W52" i="10"/>
  <c r="W51" i="10"/>
  <c r="W50" i="10"/>
  <c r="Q8" i="8" l="1"/>
  <c r="Q17" i="8"/>
  <c r="W86" i="10"/>
  <c r="V86" i="10"/>
  <c r="U86" i="10"/>
  <c r="T86" i="10"/>
  <c r="S86" i="10"/>
  <c r="R86" i="10"/>
  <c r="Q86" i="10"/>
  <c r="P86" i="10"/>
  <c r="O86" i="10"/>
  <c r="N86" i="10"/>
  <c r="L86" i="10"/>
  <c r="K86" i="10"/>
  <c r="J86" i="10"/>
  <c r="H86" i="10"/>
  <c r="F86" i="10"/>
  <c r="V47" i="10"/>
  <c r="U47" i="10"/>
  <c r="T47" i="10"/>
  <c r="S47" i="10"/>
  <c r="R47" i="10"/>
  <c r="P47" i="10"/>
  <c r="N47" i="10"/>
  <c r="L47" i="10"/>
  <c r="K47" i="10"/>
  <c r="J47" i="10"/>
  <c r="H47" i="10"/>
  <c r="F47" i="10"/>
  <c r="W47" i="10"/>
  <c r="D47" i="10" l="1"/>
  <c r="Q47" i="10"/>
  <c r="W35" i="10"/>
  <c r="W36" i="10"/>
  <c r="W29" i="10"/>
  <c r="W37" i="10"/>
  <c r="W30" i="10"/>
  <c r="W39" i="10"/>
  <c r="W32" i="10"/>
  <c r="W40" i="10"/>
  <c r="W33" i="10"/>
  <c r="W27" i="10"/>
  <c r="W34" i="10"/>
  <c r="W31" i="10"/>
  <c r="V43" i="10"/>
  <c r="U43" i="10"/>
  <c r="T43" i="10"/>
  <c r="S43" i="10"/>
  <c r="R43" i="10"/>
  <c r="P43" i="10"/>
  <c r="O43" i="10"/>
  <c r="N43" i="10"/>
  <c r="L43" i="10"/>
  <c r="K43" i="10"/>
  <c r="J43" i="10"/>
  <c r="H43" i="10"/>
  <c r="F43" i="10"/>
  <c r="W41" i="10"/>
  <c r="V24" i="10"/>
  <c r="U24" i="10"/>
  <c r="T24" i="10"/>
  <c r="R24" i="10"/>
  <c r="P24" i="10"/>
  <c r="O24" i="10"/>
  <c r="N24" i="10"/>
  <c r="L24" i="10"/>
  <c r="K24" i="10"/>
  <c r="J24" i="10"/>
  <c r="H24" i="10"/>
  <c r="F24" i="10"/>
  <c r="D86" i="10" l="1"/>
  <c r="D24" i="10"/>
  <c r="W28" i="10"/>
  <c r="W38" i="10"/>
  <c r="D43" i="10"/>
  <c r="W42" i="10"/>
  <c r="F79" i="8"/>
  <c r="H79" i="8"/>
  <c r="J79" i="8"/>
  <c r="L79" i="8"/>
  <c r="N79" i="8"/>
  <c r="O79" i="8"/>
  <c r="P79" i="8"/>
  <c r="Q4" i="8"/>
  <c r="Q5" i="8"/>
  <c r="Q6" i="8"/>
  <c r="Q7" i="8"/>
  <c r="Q9" i="8"/>
  <c r="Q10" i="8"/>
  <c r="Q11" i="8"/>
  <c r="Q12" i="8"/>
  <c r="Q13" i="8"/>
  <c r="Q14" i="8"/>
  <c r="Q15" i="8"/>
  <c r="Q16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3" i="8"/>
  <c r="Q40" i="8" s="1"/>
  <c r="J18" i="9"/>
  <c r="J7" i="9"/>
  <c r="J11" i="9" s="1"/>
  <c r="E24" i="9"/>
  <c r="E17" i="9"/>
  <c r="E13" i="9"/>
  <c r="E7" i="9"/>
  <c r="E55" i="9"/>
  <c r="E32" i="9"/>
  <c r="E36" i="9"/>
  <c r="E39" i="9"/>
  <c r="E45" i="9"/>
  <c r="E52" i="9"/>
  <c r="F40" i="8"/>
  <c r="H40" i="8"/>
  <c r="J40" i="8"/>
  <c r="K40" i="8"/>
  <c r="L40" i="8"/>
  <c r="R79" i="8"/>
  <c r="S79" i="8"/>
  <c r="T79" i="8"/>
  <c r="U79" i="8"/>
  <c r="V79" i="8"/>
  <c r="W44" i="8"/>
  <c r="W45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73" i="8"/>
  <c r="W74" i="8"/>
  <c r="W75" i="8"/>
  <c r="W76" i="8"/>
  <c r="W77" i="8"/>
  <c r="W78" i="8"/>
  <c r="W43" i="8"/>
  <c r="N40" i="8"/>
  <c r="O40" i="8"/>
  <c r="P40" i="8"/>
  <c r="R40" i="8"/>
  <c r="S40" i="8"/>
  <c r="T40" i="8"/>
  <c r="U40" i="8"/>
  <c r="V40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3" i="8"/>
  <c r="W79" i="8" l="1"/>
  <c r="E56" i="9"/>
  <c r="Q79" i="8"/>
  <c r="Q24" i="10"/>
  <c r="W43" i="10"/>
  <c r="W24" i="10"/>
  <c r="Q43" i="10"/>
  <c r="W40" i="8"/>
  <c r="D40" i="8"/>
  <c r="D79" i="8"/>
</calcChain>
</file>

<file path=xl/sharedStrings.xml><?xml version="1.0" encoding="utf-8"?>
<sst xmlns="http://schemas.openxmlformats.org/spreadsheetml/2006/main" count="1415" uniqueCount="309">
  <si>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</si>
  <si>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</si>
  <si>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</si>
  <si>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</si>
  <si>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</si>
  <si>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</si>
  <si>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</si>
  <si>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</si>
  <si>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</si>
  <si>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</si>
  <si>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W1769 A SCHEDULE_B</t>
  </si>
  <si>
    <t>K4E 12 SCHEDULE_B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</si>
  <si>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</si>
  <si>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</si>
  <si>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</si>
  <si>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</si>
  <si>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</si>
  <si>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</si>
  <si>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</si>
  <si>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Pli &gt;= 60 years old</t>
  </si>
  <si>
    <t>PLI &lt; 60 years</t>
  </si>
  <si>
    <t>Pli (Ha) 67-100%</t>
  </si>
  <si>
    <t>Pli (Ha) 33-66%</t>
  </si>
  <si>
    <t>Pli (Ha) 1-32%</t>
  </si>
  <si>
    <t>Pli (Ha) 33%+</t>
  </si>
  <si>
    <t>Pli (Ha) 0%</t>
  </si>
  <si>
    <t>Interfor A18969</t>
  </si>
  <si>
    <t>W1766 A SCHEDULE_B</t>
  </si>
  <si>
    <t>W1623 A SCHEDULE_B</t>
  </si>
  <si>
    <t>Operating Area 3</t>
  </si>
  <si>
    <t>K4E 20 SCHEDULE_B</t>
  </si>
  <si>
    <t>CONKLE LAKE PARK</t>
  </si>
  <si>
    <t>-412980000</t>
  </si>
  <si>
    <t>operating area 2 ha</t>
  </si>
  <si>
    <t>operating area 3 ha</t>
  </si>
  <si>
    <t>W1469 A SCHEDULE_B</t>
  </si>
  <si>
    <t>W1626 1 SCHEDULE_A</t>
  </si>
  <si>
    <t>W2075 A SCHEDULE_B</t>
  </si>
  <si>
    <t>GLADSTONE PARK</t>
  </si>
  <si>
    <t>GRANBY PARK</t>
  </si>
  <si>
    <t>IBD</t>
  </si>
  <si>
    <t>A95030 BLK 1</t>
  </si>
  <si>
    <t>A93521 BLK 2</t>
  </si>
  <si>
    <t>A94945 BLK 4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</si>
  <si>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</si>
  <si>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</si>
  <si>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</si>
  <si>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</si>
  <si>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</si>
  <si>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</si>
  <si>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</si>
  <si>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>A53483 Blk 1</t>
  </si>
  <si>
    <t>A53483 Blk 3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</si>
  <si>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</si>
  <si>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</si>
  <si>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</si>
  <si>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</si>
  <si>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</si>
  <si>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N2R A SCHEDULE_B</t>
  </si>
  <si>
    <t>N2R 2B SCHEDULE_B</t>
  </si>
  <si>
    <t>N2R 19 SCHEDULE_B</t>
  </si>
  <si>
    <t>N2R 4 SCHEDULE_B</t>
  </si>
  <si>
    <t>N2R 6 SCHEDULE_B</t>
  </si>
  <si>
    <t>IBS</t>
  </si>
  <si>
    <t>Interfor A20192</t>
  </si>
  <si>
    <t>BCTS Kootenay</t>
  </si>
  <si>
    <t>A92598  Blk 3</t>
  </si>
  <si>
    <t>TOTAL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</si>
  <si>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</si>
  <si>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</si>
  <si>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</si>
  <si>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</si>
  <si>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</si>
  <si>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2017 IBM IBD Boundary TSA - RESULTS Openings &amp; Issued Blocks</t>
  </si>
  <si>
    <t>K4E 7 SCHEDULE_B</t>
  </si>
  <si>
    <t>W1775 1 SCHEDULE_B</t>
  </si>
  <si>
    <t>W1622 1 SCHEDULE_B</t>
  </si>
  <si>
    <t>K4E 23/24 SCHEDULE_B</t>
  </si>
  <si>
    <t>GLANDSTONE PARK</t>
  </si>
  <si>
    <t>Fd &gt;= 60 years old</t>
  </si>
  <si>
    <t>Fd (Ha) 67-100%</t>
  </si>
  <si>
    <t>Fd(Ha) 33-66%</t>
  </si>
  <si>
    <t>Fd (Ha) 1-32%</t>
  </si>
  <si>
    <t>Fd (Ha) 33%+</t>
  </si>
  <si>
    <t>Fd  (Ha) 0%</t>
  </si>
  <si>
    <t>Fd &lt; 60 years</t>
  </si>
  <si>
    <t>TFL8 CP 7E  Blk 6</t>
  </si>
  <si>
    <t>A18969 CP 424  Blk 424-02</t>
  </si>
  <si>
    <t>TFL8 CP 7E  Blk 7</t>
  </si>
  <si>
    <t>TFL8 CP 7E  Blk 3</t>
  </si>
  <si>
    <t>A53503  Blk 2</t>
  </si>
  <si>
    <t>A53503  Blk 7</t>
  </si>
  <si>
    <t>A18969 CP 98  Blk 5</t>
  </si>
  <si>
    <t>A18969 CP 169  Blk 4</t>
  </si>
  <si>
    <t>A62893  Blk 1</t>
  </si>
  <si>
    <t>TFL8 CP 10B  Blk 13</t>
  </si>
  <si>
    <t>TFL8 CP 7F  Blk 2</t>
  </si>
  <si>
    <t>TFL8 CP 7E  Blk 10</t>
  </si>
  <si>
    <t>A93590  Blk 8</t>
  </si>
  <si>
    <t>A27319  Blk 1</t>
  </si>
  <si>
    <t>A13589  Blk 1</t>
  </si>
  <si>
    <t>TFL8 CP 7H  Blk 20</t>
  </si>
  <si>
    <t>A18969 CP 68  Blk 8</t>
  </si>
  <si>
    <t>A18969 CP 448  Blk 448-50</t>
  </si>
  <si>
    <t>A42659  Blk 1</t>
  </si>
  <si>
    <t>A44931  Blk 1</t>
  </si>
  <si>
    <t>A27304  Blk 1</t>
  </si>
  <si>
    <t>A18970 CP 061  Blk KEL023</t>
  </si>
  <si>
    <t>A18969 CP 149  Blk 3</t>
  </si>
  <si>
    <t>A18969 CP 204  Blk 5</t>
  </si>
  <si>
    <t>W1623 CP A  Blk 3</t>
  </si>
  <si>
    <t>A92598  Blk 5</t>
  </si>
  <si>
    <t>A49375  Blk 1C</t>
  </si>
  <si>
    <t>A49375  Blk 1B</t>
  </si>
  <si>
    <t>A18969 CP 104  Blk 11</t>
  </si>
  <si>
    <t>A18969 CP 104  Blk 2</t>
  </si>
  <si>
    <t>A89824 CP 003  Blk FV001</t>
  </si>
  <si>
    <t>TFL8 CP 6F  Blk 4</t>
  </si>
  <si>
    <t>A18969 CP 236  Blk 1</t>
  </si>
  <si>
    <t>A18969 CP 259  Blk 1</t>
  </si>
  <si>
    <t>A18969 CP 117  Blk 1</t>
  </si>
  <si>
    <t>A18969 CP 117  Blk 3</t>
  </si>
  <si>
    <t>A93215 BLK 1</t>
  </si>
  <si>
    <t>-412210000</t>
  </si>
  <si>
    <t>TFL8 CP 06L BLK 06L-03</t>
  </si>
  <si>
    <t>A93570 BLK 1</t>
  </si>
  <si>
    <t>A93570 BLK 2</t>
  </si>
  <si>
    <t>TFL8 CP 06N BLK 06N-01</t>
  </si>
  <si>
    <t>NW</t>
  </si>
  <si>
    <t>IBM / IBD / IBS / NW Polys 2018</t>
  </si>
  <si>
    <t>Includes species codes FD and FDI</t>
  </si>
  <si>
    <t>Includes species codes PL and PLI</t>
  </si>
  <si>
    <t>RESULTS*</t>
  </si>
  <si>
    <t>ISSUED BLKS (No harvest data submitted to RESULTS)**</t>
  </si>
  <si>
    <t>Block Label (FOREST_FIL)</t>
  </si>
  <si>
    <t>Operating Area 1 (Map_Label)</t>
  </si>
  <si>
    <t>A24849 Blk 1</t>
  </si>
  <si>
    <t>N2R 22E SCHEDULE_B</t>
  </si>
  <si>
    <t>N2R 22G SCHEDULE_B</t>
  </si>
  <si>
    <t>TFL8 Blk 2</t>
  </si>
  <si>
    <t>TFL8 Blk 03J-01</t>
  </si>
  <si>
    <t>A45653 Blk 1</t>
  </si>
  <si>
    <t>A56698 Blk 1</t>
  </si>
  <si>
    <t>A18969 Blk 3</t>
  </si>
  <si>
    <t>A02073</t>
  </si>
  <si>
    <t>A18969 Blk 2</t>
  </si>
  <si>
    <t>TFL8 Blk 4</t>
  </si>
  <si>
    <t>A18969 Blk 1</t>
  </si>
  <si>
    <t>A89003 Blk 10</t>
  </si>
  <si>
    <t>A34054 Blk 1</t>
  </si>
  <si>
    <t>TFL8 Blk 07N-24</t>
  </si>
  <si>
    <t>A93975 Blk 1</t>
  </si>
  <si>
    <t>uses Forest Fil and Cut_Block for Block Label column</t>
  </si>
  <si>
    <t>uses Forest Fil and Cut_Block for Opening Block column, use Disturbance for Harvest Start column</t>
  </si>
  <si>
    <t>TFL8 Blk 07N-08</t>
  </si>
  <si>
    <t>A93051 Blk 9</t>
  </si>
  <si>
    <t>A18969</t>
  </si>
  <si>
    <t>A18969 Blk 451-08</t>
  </si>
  <si>
    <t>A18969 Blk 400-04</t>
  </si>
  <si>
    <t>TFL8 Blk 01P-02</t>
  </si>
  <si>
    <t>A54505</t>
  </si>
  <si>
    <t>A18970</t>
  </si>
  <si>
    <t>2018 IBM IBD IBS NW Boundary TSA - RESULTS Openings &amp; Issued Blocks</t>
  </si>
  <si>
    <t>A18969 Blk 435-02</t>
  </si>
  <si>
    <t>A18969 Blk 451-23</t>
  </si>
  <si>
    <t>A18969 Blk 449-01</t>
  </si>
  <si>
    <t>Blowdown &gt;= 5 Ha</t>
  </si>
  <si>
    <t>W0470 B SCHEDULE_B</t>
  </si>
  <si>
    <t>W0470</t>
  </si>
  <si>
    <t>A58989 Blk 1</t>
  </si>
  <si>
    <t>A53498 Blk 1</t>
  </si>
  <si>
    <t>A63469 Blk 1</t>
  </si>
  <si>
    <t>A90241 Blk 2</t>
  </si>
  <si>
    <t>A69757 Blk 2</t>
  </si>
  <si>
    <t>A42489 Blk 2</t>
  </si>
  <si>
    <t>A90241 Blk 3</t>
  </si>
  <si>
    <t>A53483 Blk 2</t>
  </si>
  <si>
    <t>A42662 Blk 1</t>
  </si>
  <si>
    <t>A93592 Blk 4</t>
  </si>
  <si>
    <t>A93592 Blk 3</t>
  </si>
  <si>
    <t>A18969 Blk 5</t>
  </si>
  <si>
    <t>A45676 Blk 1</t>
  </si>
  <si>
    <t>A30204 Blk 1</t>
  </si>
  <si>
    <t>A84807 Blk 5</t>
  </si>
  <si>
    <t>TA0443 Blk 5</t>
  </si>
  <si>
    <t>TA0443 Blk 3</t>
  </si>
  <si>
    <t>TA0443 Blk 4</t>
  </si>
  <si>
    <t>TA0443 Blk 8</t>
  </si>
  <si>
    <t>A96364 Blk 1</t>
  </si>
  <si>
    <t>A90275 Blk 1R</t>
  </si>
  <si>
    <t>TA0443Blk 2</t>
  </si>
  <si>
    <t>Fire Num</t>
  </si>
  <si>
    <t>Date</t>
  </si>
  <si>
    <t>N60057</t>
  </si>
  <si>
    <t>N60279</t>
  </si>
  <si>
    <t>N61615</t>
  </si>
  <si>
    <t>N62464</t>
  </si>
  <si>
    <t>N62556</t>
  </si>
  <si>
    <t>N62729</t>
  </si>
  <si>
    <t>N62623</t>
  </si>
  <si>
    <t>N52571</t>
  </si>
  <si>
    <t>Node # if applies</t>
  </si>
  <si>
    <t>*only for when there are AOS_RESULTS_Select_Boundary_2019 values for a node</t>
  </si>
  <si>
    <t>**only for when there are AOS_IssuedBlks_Select_Boundary_2019 values for a node</t>
  </si>
  <si>
    <t>IBM / IBD Polys 2019</t>
  </si>
  <si>
    <t>BC Timber Sales - Kootenay Rock/Rice</t>
  </si>
  <si>
    <t>BC Timber Sales - Kootenay Gable/G.</t>
  </si>
  <si>
    <t>Tolko Industries Ltd. A18970</t>
  </si>
  <si>
    <t>West Boundary Community Forest K4E</t>
  </si>
  <si>
    <t>INTERFOR A18969</t>
  </si>
  <si>
    <t>Weyerhaeuser Company Ltd. TFL 59</t>
  </si>
  <si>
    <t>BC TS - Kootenay Gable/G.</t>
  </si>
  <si>
    <t>BCTS - Kootenay Rock/Rice</t>
  </si>
  <si>
    <t>BCTS - Kootenay Gable/G.</t>
  </si>
  <si>
    <t>INTERFOR TFL8</t>
  </si>
  <si>
    <t>BC Timber Sales - Kootenay Nicolson</t>
  </si>
  <si>
    <t>BC Timber Sales - Kootenay Gloucester</t>
  </si>
  <si>
    <t>*only for when there are AOS_RESULTS_Select_Boundary_2020 values for a node</t>
  </si>
  <si>
    <t>2019 IBM IBD Boundary TSA - RESULTS Openings &amp; Issued Blocks</t>
  </si>
  <si>
    <t>**only for when there are AOS_IssuedBlks_Select_Boundary_2020 values for a node</t>
  </si>
  <si>
    <t>A21226 Blk 1</t>
  </si>
  <si>
    <t>&lt;Null&gt;</t>
  </si>
  <si>
    <t xml:space="preserve">A20173 CP 2   </t>
  </si>
  <si>
    <t>A22012 Blk 1</t>
  </si>
  <si>
    <t>A18969 CP 30  Blk 14</t>
  </si>
  <si>
    <t>A18970 CP 31  Blk 4</t>
  </si>
  <si>
    <t>A18969 CP 75  Blk 4</t>
  </si>
  <si>
    <t>A90314 Blk 5</t>
  </si>
  <si>
    <t>A31613 Blk 1</t>
  </si>
  <si>
    <t>A45703 Blk 2</t>
  </si>
  <si>
    <t>W1623 CP CC  Blk 1</t>
  </si>
  <si>
    <t>A89003 CP 44  Blk 3</t>
  </si>
  <si>
    <t>A18970 CP 15  Blk G</t>
  </si>
  <si>
    <t>A89003 CP 44  Blk 2</t>
  </si>
  <si>
    <t>A18970 CP 31  Blk 2</t>
  </si>
  <si>
    <t>A18969 CP 74  Blk 2</t>
  </si>
  <si>
    <t>A18970 CP 61  Blk KEL023</t>
  </si>
  <si>
    <t>A18970 CP 39  Blk 6</t>
  </si>
  <si>
    <t xml:space="preserve">      </t>
  </si>
  <si>
    <t>A18969 CP 143  Blk 21</t>
  </si>
  <si>
    <t>TFL8 CP 8C Blk 16</t>
  </si>
  <si>
    <t>TFL8 CP 8C Blk 11</t>
  </si>
  <si>
    <t xml:space="preserve">     </t>
  </si>
  <si>
    <t>W0474 CP C Blk 1</t>
  </si>
  <si>
    <t>TFL8 CP 6D Blk 21</t>
  </si>
  <si>
    <t>A18969 CP 172 Blk 1</t>
  </si>
  <si>
    <t>TFL8 CP 6H Blk 2</t>
  </si>
  <si>
    <t>W1432 CP D Blk 1</t>
  </si>
  <si>
    <t>TFL8 CP 5C Blk 8</t>
  </si>
  <si>
    <t>W0471 CP EE Blk 2</t>
  </si>
  <si>
    <t>W0471 CP D Blk 1</t>
  </si>
  <si>
    <t>A18969 CP 277 Blk 4</t>
  </si>
  <si>
    <t>A07504 CP L Blk 99</t>
  </si>
  <si>
    <t>W1769 CP A Blk 1</t>
  </si>
  <si>
    <t>TFL8 CP 7H Blk 7</t>
  </si>
  <si>
    <t>TFL8 CP 07N Blk 07N-01</t>
  </si>
  <si>
    <t>TFL8 CP 7H Blk 15</t>
  </si>
  <si>
    <t>A18969 CP 176 Blk 5</t>
  </si>
  <si>
    <t>A18969 CP 176 Blk 4</t>
  </si>
  <si>
    <t>TFL8 CP 7F Blk 2</t>
  </si>
  <si>
    <t>TFL8 CP 7H Blk 20</t>
  </si>
  <si>
    <t>A18969 CP 43 Blk 7</t>
  </si>
  <si>
    <t>TFL8 CP 7C Blk 6</t>
  </si>
  <si>
    <t>TFL8 CP 5G Blk 17</t>
  </si>
  <si>
    <t>A18970 CP 43 Blk KEL013</t>
  </si>
  <si>
    <t>A91829 CP 87 Blk KEL002</t>
  </si>
  <si>
    <t>TFL8 CP 3F Blk 4</t>
  </si>
  <si>
    <t>TFL8 CP 3L Blk 3</t>
  </si>
  <si>
    <t>TFL8 CP 3H Blk 4</t>
  </si>
  <si>
    <t>A24835 Blk 1</t>
  </si>
  <si>
    <t>A76756 Blk 1</t>
  </si>
  <si>
    <t>A84749 Blk 5</t>
  </si>
  <si>
    <t>A60040 Blk 1</t>
  </si>
  <si>
    <t>A53503 Blk 8</t>
  </si>
  <si>
    <t>A18969 CP 6</t>
  </si>
  <si>
    <t>A84696 Blk 2</t>
  </si>
  <si>
    <t>A48853 Blk 6</t>
  </si>
  <si>
    <t>Make sure to use Forest Fil, Cut_Pe and Cut_Block for Opening Block column, use Disturbance for Harvest Start column</t>
  </si>
  <si>
    <t>Make sure to use Forest Fil, Cut_Pe and Cut_Block for Block Label column</t>
  </si>
  <si>
    <t>A93533 Blk 5</t>
  </si>
  <si>
    <t>A93215   Blk 1</t>
  </si>
  <si>
    <t>A91985   Blk 1</t>
  </si>
  <si>
    <t>A93651   Blk 1</t>
  </si>
  <si>
    <t>A18969 CP 454 Blk 454-11</t>
  </si>
  <si>
    <t>A18969 CP 488 Blk 488-07</t>
  </si>
  <si>
    <t>NOTE:</t>
  </si>
  <si>
    <t>Nodes in Interfor</t>
  </si>
  <si>
    <t>TFL 8 whose</t>
  </si>
  <si>
    <t>hazard classification</t>
  </si>
  <si>
    <t>was NTA had no data.</t>
  </si>
  <si>
    <t>These operating areas</t>
  </si>
  <si>
    <t>will be highligted in red,</t>
  </si>
  <si>
    <t>and the NULL area will be</t>
  </si>
  <si>
    <t xml:space="preserve">counted under the </t>
  </si>
  <si>
    <t>Fd (Ha) 0% column.</t>
  </si>
  <si>
    <t>A18969 whose</t>
  </si>
  <si>
    <t>was NIL had no data.</t>
  </si>
  <si>
    <t>will be highligted in blue,</t>
  </si>
  <si>
    <t>Some Nodes in Interfor</t>
  </si>
  <si>
    <t>These NULL areas will</t>
  </si>
  <si>
    <t xml:space="preserve">be counted under the </t>
  </si>
  <si>
    <t>Some Nodes whose</t>
  </si>
  <si>
    <t>was NIL had no data due</t>
  </si>
  <si>
    <t>to being private, park, R/W, or</t>
  </si>
  <si>
    <t>because its bare earth/rocky.</t>
  </si>
  <si>
    <t>BCTS, same explanation</t>
  </si>
  <si>
    <t>Tolko, same explanation</t>
  </si>
  <si>
    <t>TFL8</t>
  </si>
  <si>
    <t>TFl8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</si>
</sst>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b/>
      <sz val="9"/>
      <color theme="7" tint="0.3999755851924192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93">
    <xf numFmtId="0" fontId="0" fillId="0" borderId="0" xfId="0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164" fontId="0" fillId="33" borderId="11" xfId="0" applyNumberFormat="1" applyFill="1" applyBorder="1" applyAlignment="1">
      <alignment horizontal="center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64" fontId="0" fillId="35" borderId="11" xfId="0" applyNumberFormat="1" applyFill="1" applyBorder="1" applyAlignment="1">
      <alignment horizontal="center"/>
    </xf>
    <xf numFmtId="0" fontId="0" fillId="35" borderId="11" xfId="0" applyFill="1" applyBorder="1" applyAlignment="1">
      <alignment horizontal="center"/>
    </xf>
    <xf numFmtId="164" fontId="22" fillId="0" borderId="10" xfId="0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19" fillId="38" borderId="10" xfId="0" applyFont="1" applyFill="1" applyBorder="1" applyAlignment="1">
      <alignment horizontal="center"/>
    </xf>
    <xf numFmtId="164" fontId="0" fillId="0" borderId="0" xfId="0" applyNumberFormat="1"/>
    <xf numFmtId="164" fontId="22" fillId="34" borderId="12" xfId="0" applyNumberFormat="1" applyFont="1" applyFill="1" applyBorder="1" applyAlignment="1">
      <alignment horizontal="center"/>
    </xf>
    <xf numFmtId="164" fontId="0" fillId="36" borderId="12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38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0" fillId="38" borderId="0" xfId="0" applyFill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Fill="1"/>
    <xf numFmtId="1" fontId="0" fillId="36" borderId="10" xfId="0" applyNumberFormat="1" applyFill="1" applyBorder="1" applyAlignment="1">
      <alignment horizontal="center"/>
    </xf>
    <xf numFmtId="164" fontId="27" fillId="34" borderId="10" xfId="0" applyNumberFormat="1" applyFont="1" applyFill="1" applyBorder="1" applyAlignment="1">
      <alignment horizontal="center" vertical="center" wrapText="1"/>
    </xf>
    <xf numFmtId="164" fontId="0" fillId="35" borderId="10" xfId="0" applyNumberFormat="1" applyFill="1" applyBorder="1" applyAlignment="1">
      <alignment horizontal="center"/>
    </xf>
    <xf numFmtId="0" fontId="24" fillId="0" borderId="10" xfId="0" applyFont="1" applyFill="1" applyBorder="1" applyAlignment="1">
      <alignment horizontal="center" wrapText="1"/>
    </xf>
    <xf numFmtId="164" fontId="24" fillId="0" borderId="10" xfId="0" applyNumberFormat="1" applyFont="1" applyFill="1" applyBorder="1" applyAlignment="1">
      <alignment horizontal="center" wrapText="1"/>
    </xf>
    <xf numFmtId="1" fontId="0" fillId="0" borderId="10" xfId="0" applyNumberFormat="1" applyFill="1" applyBorder="1" applyAlignment="1">
      <alignment horizontal="center"/>
    </xf>
    <xf numFmtId="164" fontId="21" fillId="0" borderId="10" xfId="0" applyNumberFormat="1" applyFont="1" applyFill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" fontId="0" fillId="0" borderId="10" xfId="0" applyNumberFormat="1" applyBorder="1"/>
    <xf numFmtId="0" fontId="0" fillId="38" borderId="0" xfId="0" applyFont="1" applyFill="1" applyBorder="1" applyAlignment="1">
      <alignment horizontal="left"/>
    </xf>
    <xf numFmtId="0" fontId="0" fillId="3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0" fillId="36" borderId="10" xfId="0" applyNumberFormat="1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1" fontId="4" fillId="33" borderId="10" xfId="49" applyNumberFormat="1" applyFont="1" applyFill="1" applyBorder="1" applyAlignment="1">
      <alignment horizontal="center"/>
    </xf>
    <xf numFmtId="1" fontId="4" fillId="36" borderId="10" xfId="49" applyNumberFormat="1" applyFont="1" applyFill="1" applyBorder="1" applyAlignment="1">
      <alignment horizontal="center"/>
    </xf>
    <xf numFmtId="0" fontId="0" fillId="36" borderId="0" xfId="0" applyFill="1"/>
    <xf numFmtId="164" fontId="0" fillId="41" borderId="10" xfId="0" applyNumberFormat="1" applyFont="1" applyFill="1" applyBorder="1" applyAlignment="1">
      <alignment horizontal="center"/>
    </xf>
    <xf numFmtId="1" fontId="21" fillId="41" borderId="10" xfId="0" applyNumberFormat="1" applyFont="1" applyFill="1" applyBorder="1" applyAlignment="1">
      <alignment horizontal="center"/>
    </xf>
    <xf numFmtId="0" fontId="27" fillId="34" borderId="12" xfId="0" applyFont="1" applyFill="1" applyBorder="1" applyAlignment="1">
      <alignment horizontal="center" vertical="center" wrapText="1"/>
    </xf>
    <xf numFmtId="164" fontId="4" fillId="41" borderId="10" xfId="107" applyNumberFormat="1" applyFont="1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 wrapText="1"/>
    </xf>
    <xf numFmtId="0" fontId="0" fillId="36" borderId="11" xfId="0" applyFill="1" applyBorder="1" applyAlignment="1">
      <alignment horizontal="center"/>
    </xf>
    <xf numFmtId="164" fontId="23" fillId="37" borderId="10" xfId="0" applyNumberFormat="1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0" fillId="37" borderId="10" xfId="0" applyNumberFormat="1" applyFill="1" applyBorder="1" applyAlignment="1">
      <alignment horizontal="center"/>
    </xf>
    <xf numFmtId="164" fontId="22" fillId="37" borderId="10" xfId="0" applyNumberFormat="1" applyFont="1" applyFill="1" applyBorder="1" applyAlignment="1">
      <alignment horizontal="center" wrapText="1"/>
    </xf>
    <xf numFmtId="0" fontId="0" fillId="0" borderId="0" xfId="0"/>
    <xf numFmtId="0" fontId="0" fillId="0" borderId="11" xfId="0" applyFill="1" applyBorder="1" applyAlignment="1">
      <alignment horizontal="center"/>
    </xf>
    <xf numFmtId="164" fontId="19" fillId="36" borderId="10" xfId="49" applyNumberFormat="1" applyFont="1" applyFill="1" applyBorder="1" applyAlignment="1">
      <alignment horizontal="center"/>
    </xf>
    <xf numFmtId="0" fontId="19" fillId="36" borderId="0" xfId="0" applyFont="1" applyFill="1"/>
    <xf numFmtId="1" fontId="19" fillId="36" borderId="10" xfId="49" applyNumberFormat="1" applyFont="1" applyFill="1" applyBorder="1" applyAlignment="1">
      <alignment horizontal="center"/>
    </xf>
    <xf numFmtId="0" fontId="0" fillId="40" borderId="10" xfId="79" applyFont="1" applyFill="1" applyBorder="1" applyAlignment="1">
      <alignment horizontal="center"/>
    </xf>
    <xf numFmtId="0" fontId="19" fillId="0" borderId="0" xfId="0" applyFont="1"/>
    <xf numFmtId="0" fontId="21" fillId="41" borderId="10" xfId="79" applyFont="1" applyFill="1" applyBorder="1" applyAlignment="1">
      <alignment horizontal="center"/>
    </xf>
    <xf numFmtId="164" fontId="0" fillId="36" borderId="11" xfId="0" applyNumberFormat="1" applyFont="1" applyFill="1" applyBorder="1" applyAlignment="1">
      <alignment horizontal="center"/>
    </xf>
    <xf numFmtId="0" fontId="19" fillId="41" borderId="11" xfId="79" applyFont="1" applyFill="1" applyBorder="1" applyAlignment="1">
      <alignment horizontal="center"/>
    </xf>
    <xf numFmtId="164" fontId="0" fillId="41" borderId="11" xfId="79" applyNumberFormat="1" applyFont="1" applyFill="1" applyBorder="1" applyAlignment="1">
      <alignment horizontal="center"/>
    </xf>
    <xf numFmtId="164" fontId="0" fillId="41" borderId="11" xfId="0" applyNumberFormat="1" applyFont="1" applyFill="1" applyBorder="1" applyAlignment="1">
      <alignment horizontal="center"/>
    </xf>
    <xf numFmtId="0" fontId="0" fillId="41" borderId="11" xfId="79" applyFont="1" applyFill="1" applyBorder="1" applyAlignment="1">
      <alignment horizontal="center"/>
    </xf>
    <xf numFmtId="1" fontId="19" fillId="41" borderId="11" xfId="0" applyNumberFormat="1" applyFont="1" applyFill="1" applyBorder="1" applyAlignment="1">
      <alignment horizontal="center" vertical="center" wrapText="1"/>
    </xf>
    <xf numFmtId="0" fontId="0" fillId="41" borderId="11" xfId="0" applyFont="1" applyFill="1" applyBorder="1" applyAlignment="1">
      <alignment horizontal="center"/>
    </xf>
    <xf numFmtId="0" fontId="0" fillId="36" borderId="11" xfId="0" applyFont="1" applyFill="1" applyBorder="1" applyAlignment="1">
      <alignment horizontal="center"/>
    </xf>
    <xf numFmtId="0" fontId="23" fillId="42" borderId="10" xfId="0" applyFont="1" applyFill="1" applyBorder="1" applyAlignment="1">
      <alignment horizontal="center" vertical="center" wrapText="1"/>
    </xf>
    <xf numFmtId="1" fontId="23" fillId="42" borderId="10" xfId="0" applyNumberFormat="1" applyFont="1" applyFill="1" applyBorder="1" applyAlignment="1">
      <alignment horizontal="center" vertical="center" wrapText="1"/>
    </xf>
    <xf numFmtId="164" fontId="23" fillId="42" borderId="10" xfId="0" applyNumberFormat="1" applyFont="1" applyFill="1" applyBorder="1" applyAlignment="1">
      <alignment horizontal="center" vertical="center" wrapText="1"/>
    </xf>
    <xf numFmtId="0" fontId="24" fillId="42" borderId="10" xfId="0" applyFont="1" applyFill="1" applyBorder="1" applyAlignment="1">
      <alignment horizontal="center" wrapText="1"/>
    </xf>
    <xf numFmtId="164" fontId="21" fillId="42" borderId="10" xfId="0" applyNumberFormat="1" applyFont="1" applyFill="1" applyBorder="1" applyAlignment="1">
      <alignment horizontal="center"/>
    </xf>
    <xf numFmtId="1" fontId="21" fillId="42" borderId="10" xfId="79" applyNumberFormat="1" applyFont="1" applyFill="1" applyBorder="1" applyAlignment="1">
      <alignment horizontal="center"/>
    </xf>
    <xf numFmtId="164" fontId="21" fillId="42" borderId="10" xfId="79" applyNumberFormat="1" applyFont="1" applyFill="1" applyBorder="1" applyAlignment="1">
      <alignment horizontal="center"/>
    </xf>
    <xf numFmtId="164" fontId="24" fillId="42" borderId="10" xfId="0" applyNumberFormat="1" applyFont="1" applyFill="1" applyBorder="1" applyAlignment="1">
      <alignment horizontal="center" wrapText="1"/>
    </xf>
    <xf numFmtId="1" fontId="24" fillId="42" borderId="10" xfId="0" applyNumberFormat="1" applyFont="1" applyFill="1" applyBorder="1" applyAlignment="1">
      <alignment horizontal="center" wrapText="1"/>
    </xf>
    <xf numFmtId="1" fontId="21" fillId="42" borderId="10" xfId="0" applyNumberFormat="1" applyFont="1" applyFill="1" applyBorder="1" applyAlignment="1">
      <alignment horizontal="center"/>
    </xf>
    <xf numFmtId="1" fontId="23" fillId="42" borderId="10" xfId="0" applyNumberFormat="1" applyFont="1" applyFill="1" applyBorder="1" applyAlignment="1">
      <alignment horizontal="center" wrapText="1"/>
    </xf>
    <xf numFmtId="164" fontId="23" fillId="42" borderId="10" xfId="0" applyNumberFormat="1" applyFont="1" applyFill="1" applyBorder="1" applyAlignment="1">
      <alignment horizontal="center" wrapText="1"/>
    </xf>
    <xf numFmtId="0" fontId="21" fillId="42" borderId="10" xfId="0" applyFont="1" applyFill="1" applyBorder="1" applyAlignment="1">
      <alignment horizontal="center"/>
    </xf>
    <xf numFmtId="164" fontId="19" fillId="36" borderId="11" xfId="49" applyNumberFormat="1" applyFont="1" applyFill="1" applyBorder="1" applyAlignment="1">
      <alignment horizontal="center"/>
    </xf>
    <xf numFmtId="164" fontId="4" fillId="33" borderId="11" xfId="49" applyNumberFormat="1" applyFont="1" applyFill="1" applyBorder="1" applyAlignment="1">
      <alignment horizontal="center"/>
    </xf>
    <xf numFmtId="164" fontId="4" fillId="36" borderId="11" xfId="49" applyNumberFormat="1" applyFont="1" applyFill="1" applyBorder="1" applyAlignment="1">
      <alignment horizontal="center"/>
    </xf>
    <xf numFmtId="164" fontId="0" fillId="36" borderId="11" xfId="0" applyNumberFormat="1" applyFill="1" applyBorder="1" applyAlignment="1">
      <alignment horizontal="center"/>
    </xf>
    <xf numFmtId="0" fontId="19" fillId="0" borderId="10" xfId="0" applyFont="1" applyFill="1" applyBorder="1" applyAlignment="1">
      <alignment horizontal="center" wrapText="1"/>
    </xf>
    <xf numFmtId="0" fontId="27" fillId="34" borderId="12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/>
    </xf>
    <xf numFmtId="0" fontId="19" fillId="41" borderId="12" xfId="0" applyFont="1" applyFill="1" applyBorder="1" applyAlignment="1">
      <alignment horizontal="center" wrapText="1"/>
    </xf>
    <xf numFmtId="0" fontId="0" fillId="41" borderId="12" xfId="0" applyFill="1" applyBorder="1" applyAlignment="1">
      <alignment horizontal="center"/>
    </xf>
    <xf numFmtId="164" fontId="4" fillId="38" borderId="10" xfId="107" applyNumberFormat="1" applyFont="1" applyFill="1" applyBorder="1" applyAlignment="1">
      <alignment horizontal="center"/>
    </xf>
    <xf numFmtId="164" fontId="4" fillId="41" borderId="12" xfId="107" applyNumberFormat="1" applyFont="1" applyFill="1" applyBorder="1" applyAlignment="1">
      <alignment horizontal="center"/>
    </xf>
    <xf numFmtId="0" fontId="19" fillId="41" borderId="12" xfId="0" applyFont="1" applyFill="1" applyBorder="1" applyAlignment="1">
      <alignment horizontal="center" vertical="center" wrapText="1"/>
    </xf>
    <xf numFmtId="164" fontId="4" fillId="35" borderId="11" xfId="79" applyNumberFormat="1" applyFont="1" applyFill="1" applyBorder="1" applyAlignment="1">
      <alignment horizontal="center"/>
    </xf>
    <xf numFmtId="164" fontId="19" fillId="38" borderId="10" xfId="0" applyNumberFormat="1" applyFont="1" applyFill="1" applyBorder="1" applyAlignment="1">
      <alignment horizontal="center" vertical="center" wrapText="1"/>
    </xf>
    <xf numFmtId="164" fontId="0" fillId="41" borderId="12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4" fillId="38" borderId="10" xfId="93" applyNumberFormat="1" applyFont="1" applyFill="1" applyBorder="1" applyAlignment="1">
      <alignment horizontal="center"/>
    </xf>
    <xf numFmtId="164" fontId="19" fillId="36" borderId="13" xfId="49" applyNumberFormat="1" applyFont="1" applyFill="1" applyBorder="1" applyAlignment="1">
      <alignment horizontal="center"/>
    </xf>
    <xf numFmtId="1" fontId="19" fillId="0" borderId="10" xfId="49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64" fontId="19" fillId="0" borderId="10" xfId="49" applyNumberFormat="1" applyFont="1" applyFill="1" applyBorder="1" applyAlignment="1">
      <alignment horizontal="center"/>
    </xf>
    <xf numFmtId="0" fontId="23" fillId="42" borderId="11" xfId="0" applyFont="1" applyFill="1" applyBorder="1" applyAlignment="1">
      <alignment horizontal="center" vertical="center" wrapText="1"/>
    </xf>
    <xf numFmtId="164" fontId="23" fillId="42" borderId="11" xfId="0" applyNumberFormat="1" applyFont="1" applyFill="1" applyBorder="1" applyAlignment="1">
      <alignment horizontal="center" vertical="center" wrapText="1"/>
    </xf>
    <xf numFmtId="164" fontId="23" fillId="42" borderId="11" xfId="0" applyNumberFormat="1" applyFont="1" applyFill="1" applyBorder="1" applyAlignment="1">
      <alignment horizontal="center" wrapText="1"/>
    </xf>
    <xf numFmtId="0" fontId="21" fillId="41" borderId="12" xfId="0" applyFont="1" applyFill="1" applyBorder="1" applyAlignment="1">
      <alignment horizontal="center"/>
    </xf>
    <xf numFmtId="164" fontId="21" fillId="42" borderId="11" xfId="0" applyNumberFormat="1" applyFont="1" applyFill="1" applyBorder="1" applyAlignment="1">
      <alignment horizontal="center"/>
    </xf>
    <xf numFmtId="0" fontId="28" fillId="41" borderId="12" xfId="79" applyFont="1" applyFill="1" applyBorder="1" applyAlignment="1">
      <alignment horizontal="center"/>
    </xf>
    <xf numFmtId="1" fontId="21" fillId="36" borderId="12" xfId="0" applyNumberFormat="1" applyFont="1" applyFill="1" applyBorder="1" applyAlignment="1">
      <alignment horizontal="center"/>
    </xf>
    <xf numFmtId="0" fontId="21" fillId="36" borderId="12" xfId="0" applyFont="1" applyFill="1" applyBorder="1" applyAlignment="1">
      <alignment horizontal="center"/>
    </xf>
    <xf numFmtId="164" fontId="24" fillId="42" borderId="11" xfId="0" applyNumberFormat="1" applyFont="1" applyFill="1" applyBorder="1" applyAlignment="1">
      <alignment horizontal="center" wrapText="1"/>
    </xf>
    <xf numFmtId="1" fontId="21" fillId="41" borderId="12" xfId="79" applyNumberFormat="1" applyFont="1" applyFill="1" applyBorder="1" applyAlignment="1">
      <alignment horizontal="center"/>
    </xf>
    <xf numFmtId="164" fontId="21" fillId="42" borderId="11" xfId="79" applyNumberFormat="1" applyFont="1" applyFill="1" applyBorder="1" applyAlignment="1">
      <alignment horizontal="center"/>
    </xf>
    <xf numFmtId="0" fontId="21" fillId="42" borderId="11" xfId="0" applyFont="1" applyFill="1" applyBorder="1" applyAlignment="1">
      <alignment horizontal="center"/>
    </xf>
    <xf numFmtId="1" fontId="28" fillId="41" borderId="12" xfId="0" applyNumberFormat="1" applyFont="1" applyFill="1" applyBorder="1" applyAlignment="1">
      <alignment horizontal="center" vertical="center" wrapText="1"/>
    </xf>
    <xf numFmtId="1" fontId="21" fillId="41" borderId="12" xfId="0" applyNumberFormat="1" applyFont="1" applyFill="1" applyBorder="1" applyAlignment="1">
      <alignment horizontal="center"/>
    </xf>
    <xf numFmtId="0" fontId="21" fillId="41" borderId="12" xfId="79" applyFont="1" applyFill="1" applyBorder="1" applyAlignment="1">
      <alignment horizontal="center"/>
    </xf>
    <xf numFmtId="164" fontId="24" fillId="37" borderId="10" xfId="0" applyNumberFormat="1" applyFont="1" applyFill="1" applyBorder="1" applyAlignment="1">
      <alignment horizontal="center" wrapText="1"/>
    </xf>
    <xf numFmtId="164" fontId="21" fillId="37" borderId="10" xfId="0" applyNumberFormat="1" applyFont="1" applyFill="1" applyBorder="1" applyAlignment="1">
      <alignment horizontal="center"/>
    </xf>
    <xf numFmtId="164" fontId="21" fillId="37" borderId="10" xfId="79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19" fillId="0" borderId="10" xfId="0" applyFont="1" applyBorder="1" applyAlignment="1">
      <alignment horizontal="left" indent="1"/>
    </xf>
    <xf numFmtId="0" fontId="29" fillId="0" borderId="1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38" borderId="10" xfId="0" applyFill="1" applyBorder="1" applyAlignment="1">
      <alignment horizontal="left" indent="1"/>
    </xf>
    <xf numFmtId="164" fontId="24" fillId="43" borderId="10" xfId="0" applyNumberFormat="1" applyFont="1" applyFill="1" applyBorder="1" applyAlignment="1">
      <alignment horizontal="center" wrapText="1"/>
    </xf>
    <xf numFmtId="0" fontId="0" fillId="39" borderId="0" xfId="0" applyFill="1" applyAlignment="1">
      <alignment horizontal="left" indent="1"/>
    </xf>
    <xf numFmtId="164" fontId="4" fillId="43" borderId="10" xfId="107" applyNumberFormat="1" applyFont="1" applyFill="1" applyBorder="1" applyAlignment="1">
      <alignment horizontal="center"/>
    </xf>
    <xf numFmtId="164" fontId="0" fillId="40" borderId="11" xfId="0" applyNumberFormat="1" applyFill="1" applyBorder="1" applyAlignment="1">
      <alignment horizontal="center"/>
    </xf>
    <xf numFmtId="164" fontId="0" fillId="36" borderId="0" xfId="0" applyNumberFormat="1" applyFill="1" applyAlignment="1">
      <alignment horizontal="center"/>
    </xf>
    <xf numFmtId="1" fontId="0" fillId="39" borderId="0" xfId="0" applyNumberFormat="1" applyFill="1"/>
    <xf numFmtId="0" fontId="0" fillId="40" borderId="11" xfId="79" applyFont="1" applyFill="1" applyBorder="1" applyAlignment="1">
      <alignment horizontal="center"/>
    </xf>
    <xf numFmtId="164" fontId="0" fillId="43" borderId="15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4" fontId="21" fillId="42" borderId="15" xfId="0" applyNumberFormat="1" applyFont="1" applyFill="1" applyBorder="1" applyAlignment="1">
      <alignment horizontal="center"/>
    </xf>
    <xf numFmtId="1" fontId="0" fillId="0" borderId="0" xfId="0" applyNumberFormat="1"/>
    <xf numFmtId="164" fontId="23" fillId="43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0" fillId="0" borderId="0" xfId="0" applyNumberFormat="1"/>
    <xf numFmtId="164" fontId="0" fillId="40" borderId="11" xfId="0" applyNumberFormat="1" applyFont="1" applyFill="1" applyBorder="1" applyAlignment="1">
      <alignment horizontal="center"/>
    </xf>
    <xf numFmtId="164" fontId="19" fillId="39" borderId="0" xfId="0" applyNumberFormat="1" applyFont="1" applyFill="1" applyAlignment="1">
      <alignment horizontal="center"/>
    </xf>
    <xf numFmtId="0" fontId="19" fillId="40" borderId="11" xfId="79" applyFont="1" applyFill="1" applyBorder="1" applyAlignment="1">
      <alignment horizontal="center"/>
    </xf>
    <xf numFmtId="0" fontId="19" fillId="0" borderId="10" xfId="0" applyFont="1" applyFill="1" applyBorder="1"/>
    <xf numFmtId="1" fontId="21" fillId="41" borderId="16" xfId="0" applyNumberFormat="1" applyFont="1" applyFill="1" applyBorder="1" applyAlignment="1">
      <alignment horizontal="center"/>
    </xf>
    <xf numFmtId="164" fontId="0" fillId="40" borderId="17" xfId="0" applyNumberFormat="1" applyFont="1" applyFill="1" applyBorder="1" applyAlignment="1">
      <alignment horizontal="center"/>
    </xf>
    <xf numFmtId="164" fontId="24" fillId="42" borderId="17" xfId="0" applyNumberFormat="1" applyFont="1" applyFill="1" applyBorder="1" applyAlignment="1">
      <alignment horizontal="center" wrapText="1"/>
    </xf>
    <xf numFmtId="0" fontId="26" fillId="43" borderId="10" xfId="0" applyFont="1" applyFill="1" applyBorder="1" applyAlignment="1">
      <alignment horizontal="center" vertical="center" wrapText="1"/>
    </xf>
    <xf numFmtId="164" fontId="0" fillId="33" borderId="17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22" fillId="0" borderId="12" xfId="0" applyNumberFormat="1" applyFont="1" applyFill="1" applyBorder="1" applyAlignment="1">
      <alignment horizontal="center"/>
    </xf>
    <xf numFmtId="1" fontId="0" fillId="39" borderId="0" xfId="0" applyNumberFormat="1" applyFill="1" applyBorder="1"/>
    <xf numFmtId="164" fontId="19" fillId="36" borderId="14" xfId="49" applyNumberFormat="1" applyFont="1" applyFill="1" applyBorder="1" applyAlignment="1">
      <alignment horizontal="center"/>
    </xf>
    <xf numFmtId="164" fontId="4" fillId="34" borderId="12" xfId="79" applyNumberFormat="1" applyFont="1" applyFill="1" applyBorder="1" applyAlignment="1">
      <alignment horizontal="center"/>
    </xf>
    <xf numFmtId="164" fontId="0" fillId="34" borderId="15" xfId="0" applyNumberFormat="1" applyFill="1" applyBorder="1" applyAlignment="1">
      <alignment horizontal="center"/>
    </xf>
    <xf numFmtId="164" fontId="22" fillId="34" borderId="16" xfId="0" applyNumberFormat="1" applyFont="1" applyFill="1" applyBorder="1" applyAlignment="1">
      <alignment horizontal="center"/>
    </xf>
    <xf numFmtId="164" fontId="0" fillId="35" borderId="17" xfId="0" applyNumberFormat="1" applyFill="1" applyBorder="1" applyAlignment="1">
      <alignment horizontal="center"/>
    </xf>
    <xf numFmtId="164" fontId="19" fillId="39" borderId="0" xfId="0" applyNumberFormat="1" applyFont="1" applyFill="1" applyBorder="1" applyAlignment="1">
      <alignment horizontal="center"/>
    </xf>
    <xf numFmtId="164" fontId="0" fillId="38" borderId="15" xfId="0" applyNumberFormat="1" applyFill="1" applyBorder="1" applyAlignment="1">
      <alignment horizontal="center"/>
    </xf>
    <xf numFmtId="1" fontId="19" fillId="36" borderId="14" xfId="49" applyNumberFormat="1" applyFont="1" applyFill="1" applyBorder="1" applyAlignment="1">
      <alignment horizontal="center"/>
    </xf>
    <xf numFmtId="1" fontId="24" fillId="42" borderId="15" xfId="0" applyNumberFormat="1" applyFont="1" applyFill="1" applyBorder="1" applyAlignment="1">
      <alignment horizontal="center" wrapText="1"/>
    </xf>
    <xf numFmtId="164" fontId="0" fillId="39" borderId="0" xfId="0" applyNumberFormat="1" applyFill="1" applyAlignment="1">
      <alignment horizontal="left" indent="1"/>
    </xf>
    <xf numFmtId="164" fontId="0" fillId="41" borderId="15" xfId="0" applyNumberFormat="1" applyFill="1" applyBorder="1" applyAlignment="1">
      <alignment horizontal="center"/>
    </xf>
    <xf numFmtId="164" fontId="0" fillId="41" borderId="15" xfId="79" applyNumberFormat="1" applyFont="1" applyFill="1" applyBorder="1" applyAlignment="1">
      <alignment horizontal="center"/>
    </xf>
    <xf numFmtId="1" fontId="0" fillId="39" borderId="0" xfId="0" applyNumberFormat="1" applyFill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164" fontId="0" fillId="40" borderId="17" xfId="79" applyNumberFormat="1" applyFont="1" applyFill="1" applyBorder="1" applyAlignment="1">
      <alignment horizontal="center"/>
    </xf>
    <xf numFmtId="0" fontId="0" fillId="39" borderId="0" xfId="0" applyFill="1" applyBorder="1" applyAlignment="1">
      <alignment horizontal="center"/>
    </xf>
    <xf numFmtId="0" fontId="0" fillId="39" borderId="0" xfId="0" applyFill="1" applyAlignment="1">
      <alignment horizontal="center"/>
    </xf>
    <xf numFmtId="0" fontId="0" fillId="0" borderId="15" xfId="0" applyBorder="1" applyAlignment="1">
      <alignment horizontal="left" indent="1"/>
    </xf>
    <xf numFmtId="0" fontId="0" fillId="39" borderId="0" xfId="0" applyFill="1"/>
    <xf numFmtId="1" fontId="21" fillId="42" borderId="15" xfId="0" applyNumberFormat="1" applyFont="1" applyFill="1" applyBorder="1" applyAlignment="1">
      <alignment horizontal="center"/>
    </xf>
    <xf numFmtId="164" fontId="0" fillId="37" borderId="15" xfId="0" applyNumberFormat="1" applyFill="1" applyBorder="1" applyAlignment="1">
      <alignment horizontal="center"/>
    </xf>
    <xf numFmtId="1" fontId="19" fillId="40" borderId="11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40" borderId="11" xfId="0" applyFill="1" applyBorder="1" applyAlignment="1">
      <alignment horizontal="center"/>
    </xf>
    <xf numFmtId="164" fontId="0" fillId="35" borderId="15" xfId="0" applyNumberFormat="1" applyFill="1" applyBorder="1" applyAlignment="1">
      <alignment horizontal="center"/>
    </xf>
    <xf numFmtId="0" fontId="0" fillId="41" borderId="10" xfId="79" applyFont="1" applyFill="1" applyBorder="1" applyAlignment="1">
      <alignment horizontal="center"/>
    </xf>
    <xf numFmtId="0" fontId="19" fillId="40" borderId="11" xfId="0" applyFont="1" applyFill="1" applyBorder="1" applyAlignment="1">
      <alignment horizontal="center" wrapText="1"/>
    </xf>
    <xf numFmtId="164" fontId="0" fillId="41" borderId="17" xfId="0" applyNumberFormat="1" applyFont="1" applyFill="1" applyBorder="1" applyAlignment="1">
      <alignment horizontal="center"/>
    </xf>
    <xf numFmtId="164" fontId="22" fillId="36" borderId="12" xfId="0" applyNumberFormat="1" applyFont="1" applyFill="1" applyBorder="1" applyAlignment="1">
      <alignment horizontal="center"/>
    </xf>
    <xf numFmtId="164" fontId="0" fillId="39" borderId="0" xfId="0" applyNumberFormat="1" applyFill="1" applyAlignment="1">
      <alignment horizontal="center"/>
    </xf>
    <xf numFmtId="164" fontId="0" fillId="40" borderId="11" xfId="79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33" borderId="15" xfId="0" applyNumberFormat="1" applyFill="1" applyBorder="1" applyAlignment="1">
      <alignment horizontal="center"/>
    </xf>
    <xf numFmtId="0" fontId="0" fillId="0" borderId="15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10" xfId="0" applyNumberFormat="1" applyBorder="1"/>
    <xf numFmtId="164" fontId="24" fillId="42" borderId="15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10" xfId="0" applyNumberFormat="1" applyBorder="1"/>
    <xf numFmtId="0" fontId="0" fillId="39" borderId="0" xfId="0" applyFill="1" applyAlignment="1">
      <alignment horizontal="center"/>
    </xf>
    <xf numFmtId="1" fontId="0" fillId="33" borderId="15" xfId="0" applyNumberFormat="1" applyFill="1" applyBorder="1" applyAlignment="1">
      <alignment horizontal="center"/>
    </xf>
    <xf numFmtId="0" fontId="0" fillId="43" borderId="10" xfId="0" applyFill="1" applyBorder="1" applyAlignment="1">
      <alignment horizontal="center"/>
    </xf>
    <xf numFmtId="1" fontId="21" fillId="41" borderId="15" xfId="79" applyNumberFormat="1" applyFon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40" borderId="11" xfId="0" applyFont="1" applyFill="1" applyBorder="1" applyAlignment="1">
      <alignment horizontal="center"/>
    </xf>
    <xf numFmtId="164" fontId="0" fillId="0" borderId="0" xfId="0" applyNumberFormat="1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left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" fontId="0" fillId="33" borderId="10" xfId="49" applyNumberFormat="1" applyFont="1" applyFill="1" applyBorder="1" applyAlignment="1">
      <alignment horizontal="center"/>
    </xf>
    <xf numFmtId="1" fontId="4" fillId="0" borderId="10" xfId="49" applyNumberFormat="1" applyFont="1" applyFill="1" applyBorder="1" applyAlignment="1">
      <alignment horizontal="center"/>
    </xf>
    <xf numFmtId="164" fontId="4" fillId="0" borderId="11" xfId="49" applyNumberFormat="1" applyFont="1" applyFill="1" applyBorder="1" applyAlignment="1">
      <alignment horizontal="center"/>
    </xf>
    <xf numFmtId="1" fontId="21" fillId="0" borderId="10" xfId="79" applyNumberFormat="1" applyFont="1" applyFill="1" applyBorder="1" applyAlignment="1">
      <alignment horizontal="center"/>
    </xf>
    <xf numFmtId="164" fontId="21" fillId="0" borderId="10" xfId="79" applyNumberFormat="1" applyFont="1" applyFill="1" applyBorder="1" applyAlignment="1">
      <alignment horizontal="center"/>
    </xf>
    <xf numFmtId="1" fontId="24" fillId="0" borderId="10" xfId="0" applyNumberFormat="1" applyFont="1" applyFill="1" applyBorder="1" applyAlignment="1">
      <alignment horizontal="center" wrapText="1"/>
    </xf>
    <xf numFmtId="164" fontId="24" fillId="0" borderId="11" xfId="0" applyNumberFormat="1" applyFont="1" applyFill="1" applyBorder="1" applyAlignment="1">
      <alignment horizontal="center" wrapText="1"/>
    </xf>
    <xf numFmtId="164" fontId="4" fillId="0" borderId="10" xfId="107" applyNumberFormat="1" applyFont="1" applyFill="1" applyBorder="1" applyAlignment="1">
      <alignment horizontal="center"/>
    </xf>
    <xf numFmtId="0" fontId="21" fillId="0" borderId="12" xfId="79" applyFont="1" applyFill="1" applyBorder="1" applyAlignment="1">
      <alignment horizontal="center"/>
    </xf>
    <xf numFmtId="0" fontId="0" fillId="0" borderId="11" xfId="79" applyFont="1" applyFill="1" applyBorder="1" applyAlignment="1">
      <alignment horizontal="center"/>
    </xf>
    <xf numFmtId="164" fontId="4" fillId="0" borderId="12" xfId="79" applyNumberFormat="1" applyFont="1" applyFill="1" applyBorder="1" applyAlignment="1">
      <alignment horizontal="center"/>
    </xf>
    <xf numFmtId="164" fontId="4" fillId="0" borderId="11" xfId="79" applyNumberFormat="1" applyFon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1" fontId="21" fillId="0" borderId="12" xfId="79" applyNumberFormat="1" applyFont="1" applyFill="1" applyBorder="1" applyAlignment="1">
      <alignment horizontal="center"/>
    </xf>
    <xf numFmtId="164" fontId="0" fillId="0" borderId="11" xfId="79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19" fillId="44" borderId="12" xfId="0" applyFont="1" applyFill="1" applyBorder="1" applyAlignment="1">
      <alignment horizontal="center" wrapText="1"/>
    </xf>
    <xf numFmtId="0" fontId="0" fillId="44" borderId="10" xfId="0" applyFill="1" applyBorder="1" applyAlignment="1">
      <alignment horizontal="center" vertical="center"/>
    </xf>
    <xf numFmtId="164" fontId="19" fillId="44" borderId="10" xfId="0" applyNumberFormat="1" applyFont="1" applyFill="1" applyBorder="1" applyAlignment="1">
      <alignment horizontal="center" vertical="center" wrapText="1"/>
    </xf>
    <xf numFmtId="0" fontId="19" fillId="44" borderId="12" xfId="0" applyFont="1" applyFill="1" applyBorder="1" applyAlignment="1">
      <alignment horizontal="center" vertical="center" wrapText="1"/>
    </xf>
    <xf numFmtId="164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/>
    <xf numFmtId="164" fontId="0" fillId="36" borderId="10" xfId="0" applyNumberFormat="1" applyFill="1" applyBorder="1"/>
    <xf numFmtId="0" fontId="0" fillId="0" borderId="0" xfId="0"/>
    <xf numFmtId="164" fontId="0" fillId="35" borderId="11" xfId="0" applyNumberFormat="1" applyFill="1" applyBorder="1" applyAlignment="1">
      <alignment horizontal="center" wrapText="1"/>
    </xf>
    <xf numFmtId="164" fontId="42" fillId="0" borderId="11" xfId="49" applyNumberFormat="1" applyFont="1" applyFill="1" applyBorder="1" applyAlignment="1">
      <alignment horizontal="center" wrapText="1"/>
    </xf>
    <xf numFmtId="164" fontId="0" fillId="37" borderId="10" xfId="0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0" xfId="0"/>
    <xf numFmtId="1" fontId="28" fillId="0" borderId="10" xfId="0" applyNumberFormat="1" applyFont="1" applyFill="1" applyBorder="1" applyAlignment="1">
      <alignment horizontal="left"/>
    </xf>
    <xf numFmtId="164" fontId="19" fillId="0" borderId="11" xfId="49" applyNumberFormat="1" applyFont="1" applyFill="1" applyBorder="1" applyAlignment="1">
      <alignment horizontal="center" wrapText="1"/>
    </xf>
    <xf numFmtId="14" fontId="21" fillId="33" borderId="10" xfId="49" applyNumberFormat="1" applyFont="1" applyFill="1" applyBorder="1" applyAlignment="1">
      <alignment horizontal="center"/>
    </xf>
    <xf numFmtId="1" fontId="19" fillId="0" borderId="10" xfId="49" applyNumberFormat="1" applyFont="1" applyFill="1" applyBorder="1" applyAlignment="1">
      <alignment horizontal="center" wrapText="1"/>
    </xf>
    <xf numFmtId="0" fontId="27" fillId="34" borderId="12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23" fillId="42" borderId="10" xfId="0" applyFont="1" applyFill="1" applyBorder="1" applyAlignment="1">
      <alignment horizontal="center" vertical="center" wrapText="1"/>
    </xf>
    <xf numFmtId="0" fontId="0" fillId="44" borderId="10" xfId="0" applyFill="1" applyBorder="1" applyAlignment="1">
      <alignment horizontal="center" vertical="center"/>
    </xf>
    <xf numFmtId="0" fontId="19" fillId="0" borderId="14" xfId="0" applyFont="1" applyFill="1" applyBorder="1"/>
    <xf numFmtId="0" fontId="19" fillId="0" borderId="18" xfId="0" applyFont="1" applyFill="1" applyBorder="1"/>
    <xf numFmtId="0" fontId="0" fillId="0" borderId="0" xfId="0"/>
    <xf numFmtId="164" fontId="42" fillId="33" borderId="11" xfId="49" applyNumberFormat="1" applyFont="1" applyFill="1" applyBorder="1" applyAlignment="1">
      <alignment horizontal="center" wrapText="1"/>
    </xf>
    <xf numFmtId="164" fontId="4" fillId="41" borderId="11" xfId="49" applyNumberFormat="1" applyFont="1" applyFill="1" applyBorder="1" applyAlignment="1">
      <alignment horizontal="center"/>
    </xf>
    <xf numFmtId="164" fontId="4" fillId="40" borderId="11" xfId="49" applyNumberFormat="1" applyFont="1" applyFill="1" applyBorder="1" applyAlignment="1">
      <alignment horizontal="center"/>
    </xf>
    <xf numFmtId="164" fontId="4" fillId="34" borderId="13" xfId="49" applyNumberFormat="1" applyFont="1" applyFill="1" applyBorder="1" applyAlignment="1">
      <alignment horizontal="center"/>
    </xf>
    <xf numFmtId="164" fontId="4" fillId="35" borderId="11" xfId="49" applyNumberFormat="1" applyFont="1" applyFill="1" applyBorder="1" applyAlignment="1">
      <alignment horizontal="center"/>
    </xf>
    <xf numFmtId="0" fontId="4" fillId="41" borderId="11" xfId="79" applyFont="1" applyFill="1" applyBorder="1" applyAlignment="1">
      <alignment horizontal="center"/>
    </xf>
    <xf numFmtId="0" fontId="4" fillId="40" borderId="11" xfId="79" applyFont="1" applyFill="1" applyBorder="1" applyAlignment="1">
      <alignment horizontal="center"/>
    </xf>
    <xf numFmtId="0" fontId="0" fillId="35" borderId="11" xfId="0" applyFont="1" applyFill="1" applyBorder="1" applyAlignment="1">
      <alignment horizontal="center"/>
    </xf>
    <xf numFmtId="164" fontId="0" fillId="38" borderId="10" xfId="0" applyNumberFormat="1" applyFont="1" applyFill="1" applyBorder="1" applyAlignment="1">
      <alignment horizontal="center" vertical="center" wrapText="1"/>
    </xf>
    <xf numFmtId="164" fontId="4" fillId="41" borderId="11" xfId="79" applyNumberFormat="1" applyFont="1" applyFill="1" applyBorder="1" applyAlignment="1">
      <alignment horizontal="center"/>
    </xf>
    <xf numFmtId="164" fontId="4" fillId="40" borderId="11" xfId="79" applyNumberFormat="1" applyFont="1" applyFill="1" applyBorder="1" applyAlignment="1">
      <alignment horizontal="center"/>
    </xf>
    <xf numFmtId="0" fontId="0" fillId="41" borderId="10" xfId="0" applyFont="1" applyFill="1" applyBorder="1" applyAlignment="1">
      <alignment horizontal="center" vertical="center" wrapText="1"/>
    </xf>
    <xf numFmtId="164" fontId="4" fillId="38" borderId="10" xfId="49" applyNumberFormat="1" applyFont="1" applyFill="1" applyBorder="1" applyAlignment="1">
      <alignment horizontal="center"/>
    </xf>
    <xf numFmtId="164" fontId="4" fillId="41" borderId="10" xfId="49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  <xf numFmtId="0" fontId="19" fillId="0" borderId="0" xfId="0" applyFont="1" applyFill="1" applyBorder="1"/>
    <xf numFmtId="1" fontId="25" fillId="44" borderId="15" xfId="0" applyNumberFormat="1" applyFont="1" applyFill="1" applyBorder="1" applyAlignment="1">
      <alignment horizontal="center" vertical="center" wrapText="1"/>
    </xf>
    <xf numFmtId="1" fontId="19" fillId="44" borderId="15" xfId="0" applyNumberFormat="1" applyFont="1" applyFill="1" applyBorder="1" applyAlignment="1">
      <alignment horizontal="center" vertical="center" wrapText="1"/>
    </xf>
    <xf numFmtId="164" fontId="19" fillId="44" borderId="17" xfId="0" applyNumberFormat="1" applyFont="1" applyFill="1" applyBorder="1" applyAlignment="1">
      <alignment horizontal="center" vertical="center" wrapText="1"/>
    </xf>
    <xf numFmtId="1" fontId="23" fillId="44" borderId="15" xfId="0" applyNumberFormat="1" applyFont="1" applyFill="1" applyBorder="1" applyAlignment="1">
      <alignment horizontal="center" vertical="center" wrapText="1"/>
    </xf>
    <xf numFmtId="164" fontId="23" fillId="44" borderId="15" xfId="0" applyNumberFormat="1" applyFont="1" applyFill="1" applyBorder="1" applyAlignment="1">
      <alignment horizontal="center" vertical="center" wrapText="1"/>
    </xf>
    <xf numFmtId="164" fontId="23" fillId="44" borderId="17" xfId="0" applyNumberFormat="1" applyFont="1" applyFill="1" applyBorder="1" applyAlignment="1">
      <alignment horizontal="center" vertical="center" wrapText="1"/>
    </xf>
    <xf numFmtId="1" fontId="28" fillId="44" borderId="16" xfId="0" applyNumberFormat="1" applyFont="1" applyFill="1" applyBorder="1" applyAlignment="1">
      <alignment horizontal="center" vertical="center" wrapText="1"/>
    </xf>
    <xf numFmtId="1" fontId="19" fillId="44" borderId="17" xfId="0" applyNumberFormat="1" applyFont="1" applyFill="1" applyBorder="1" applyAlignment="1">
      <alignment horizontal="center" vertical="center" wrapText="1"/>
    </xf>
    <xf numFmtId="164" fontId="27" fillId="44" borderId="15" xfId="0" applyNumberFormat="1" applyFont="1" applyFill="1" applyBorder="1" applyAlignment="1">
      <alignment horizontal="center" vertical="center" wrapText="1"/>
    </xf>
    <xf numFmtId="0" fontId="27" fillId="44" borderId="16" xfId="0" applyFont="1" applyFill="1" applyBorder="1" applyAlignment="1">
      <alignment horizontal="center" vertical="center" wrapText="1"/>
    </xf>
    <xf numFmtId="0" fontId="19" fillId="44" borderId="17" xfId="0" applyFont="1" applyFill="1" applyBorder="1" applyAlignment="1">
      <alignment horizontal="center" vertical="center" wrapText="1"/>
    </xf>
    <xf numFmtId="0" fontId="19" fillId="44" borderId="10" xfId="0" applyFont="1" applyFill="1" applyBorder="1" applyAlignment="1">
      <alignment horizontal="center" wrapText="1"/>
    </xf>
    <xf numFmtId="0" fontId="19" fillId="44" borderId="10" xfId="0" applyFont="1" applyFill="1" applyBorder="1" applyAlignment="1">
      <alignment horizontal="center" vertical="center" wrapText="1"/>
    </xf>
    <xf numFmtId="164" fontId="19" fillId="44" borderId="11" xfId="0" applyNumberFormat="1" applyFont="1" applyFill="1" applyBorder="1" applyAlignment="1">
      <alignment horizontal="center" vertical="center" wrapText="1"/>
    </xf>
    <xf numFmtId="1" fontId="0" fillId="33" borderId="15" xfId="0" applyNumberFormat="1" applyFont="1" applyFill="1" applyBorder="1" applyAlignment="1">
      <alignment horizontal="center" vertical="center" wrapText="1"/>
    </xf>
    <xf numFmtId="164" fontId="0" fillId="33" borderId="17" xfId="0" applyNumberFormat="1" applyFont="1" applyFill="1" applyBorder="1" applyAlignment="1">
      <alignment horizontal="center" vertical="center" wrapText="1"/>
    </xf>
    <xf numFmtId="0" fontId="19" fillId="41" borderId="10" xfId="0" applyFont="1" applyFill="1" applyBorder="1" applyAlignment="1">
      <alignment horizontal="center" wrapText="1"/>
    </xf>
    <xf numFmtId="0" fontId="19" fillId="41" borderId="10" xfId="0" applyFont="1" applyFill="1" applyBorder="1" applyAlignment="1">
      <alignment horizontal="center" vertical="center" wrapText="1"/>
    </xf>
    <xf numFmtId="1" fontId="21" fillId="42" borderId="15" xfId="0" applyNumberFormat="1" applyFont="1" applyFill="1" applyBorder="1" applyAlignment="1">
      <alignment horizontal="center" wrapText="1"/>
    </xf>
    <xf numFmtId="1" fontId="21" fillId="42" borderId="10" xfId="0" applyNumberFormat="1" applyFont="1" applyFill="1" applyBorder="1" applyAlignment="1">
      <alignment horizontal="center" wrapText="1"/>
    </xf>
    <xf numFmtId="1" fontId="21" fillId="42" borderId="10" xfId="79" applyNumberFormat="1" applyFont="1" applyFill="1" applyBorder="1" applyAlignment="1">
      <alignment horizontal="center" wrapText="1"/>
    </xf>
    <xf numFmtId="0" fontId="21" fillId="42" borderId="10" xfId="0" applyFont="1" applyFill="1" applyBorder="1" applyAlignment="1">
      <alignment horizontal="center" wrapText="1"/>
    </xf>
    <xf numFmtId="164" fontId="4" fillId="42" borderId="11" xfId="49" applyNumberFormat="1" applyFont="1" applyFill="1" applyBorder="1" applyAlignment="1">
      <alignment horizontal="center" wrapText="1"/>
    </xf>
    <xf numFmtId="164" fontId="21" fillId="42" borderId="10" xfId="0" applyNumberFormat="1" applyFont="1" applyFill="1" applyBorder="1" applyAlignment="1">
      <alignment horizontal="center" wrapText="1"/>
    </xf>
    <xf numFmtId="164" fontId="0" fillId="42" borderId="15" xfId="0" applyNumberFormat="1" applyFont="1" applyFill="1" applyBorder="1" applyAlignment="1">
      <alignment horizontal="center"/>
    </xf>
    <xf numFmtId="164" fontId="0" fillId="42" borderId="10" xfId="0" applyNumberFormat="1" applyFont="1" applyFill="1" applyBorder="1" applyAlignment="1">
      <alignment horizontal="center"/>
    </xf>
    <xf numFmtId="164" fontId="0" fillId="42" borderId="10" xfId="79" applyNumberFormat="1" applyFont="1" applyFill="1" applyBorder="1" applyAlignment="1">
      <alignment horizontal="center"/>
    </xf>
    <xf numFmtId="0" fontId="0" fillId="42" borderId="10" xfId="0" applyFont="1" applyFill="1" applyBorder="1"/>
    <xf numFmtId="164" fontId="22" fillId="42" borderId="15" xfId="0" applyNumberFormat="1" applyFont="1" applyFill="1" applyBorder="1" applyAlignment="1">
      <alignment horizontal="center"/>
    </xf>
    <xf numFmtId="1" fontId="0" fillId="42" borderId="15" xfId="0" applyNumberFormat="1" applyFont="1" applyFill="1" applyBorder="1" applyAlignment="1">
      <alignment horizontal="center"/>
    </xf>
    <xf numFmtId="164" fontId="22" fillId="42" borderId="15" xfId="0" applyNumberFormat="1" applyFont="1" applyFill="1" applyBorder="1" applyAlignment="1">
      <alignment horizontal="center" wrapText="1"/>
    </xf>
    <xf numFmtId="164" fontId="0" fillId="42" borderId="11" xfId="49" applyNumberFormat="1" applyFont="1" applyFill="1" applyBorder="1" applyAlignment="1">
      <alignment horizontal="center"/>
    </xf>
    <xf numFmtId="0" fontId="0" fillId="42" borderId="10" xfId="0" applyFont="1" applyFill="1" applyBorder="1" applyAlignment="1">
      <alignment horizontal="center"/>
    </xf>
    <xf numFmtId="164" fontId="22" fillId="42" borderId="10" xfId="0" applyNumberFormat="1" applyFont="1" applyFill="1" applyBorder="1" applyAlignment="1">
      <alignment horizontal="center" wrapText="1"/>
    </xf>
    <xf numFmtId="164" fontId="22" fillId="42" borderId="17" xfId="0" applyNumberFormat="1" applyFont="1" applyFill="1" applyBorder="1" applyAlignment="1">
      <alignment horizontal="center" wrapText="1"/>
    </xf>
    <xf numFmtId="0" fontId="0" fillId="42" borderId="11" xfId="0" applyFont="1" applyFill="1" applyBorder="1" applyAlignment="1">
      <alignment horizontal="center"/>
    </xf>
    <xf numFmtId="164" fontId="22" fillId="42" borderId="11" xfId="0" applyNumberFormat="1" applyFont="1" applyFill="1" applyBorder="1" applyAlignment="1">
      <alignment horizontal="center" wrapText="1"/>
    </xf>
    <xf numFmtId="164" fontId="0" fillId="42" borderId="11" xfId="0" applyNumberFormat="1" applyFon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wrapText="1"/>
    </xf>
    <xf numFmtId="1" fontId="0" fillId="0" borderId="10" xfId="0" applyNumberFormat="1" applyFill="1" applyBorder="1"/>
    <xf numFmtId="1" fontId="0" fillId="0" borderId="10" xfId="0" applyNumberFormat="1" applyFill="1" applyBorder="1" applyAlignment="1">
      <alignment horizontal="center" wrapText="1"/>
    </xf>
    <xf numFmtId="0" fontId="0" fillId="0" borderId="10" xfId="0" applyFill="1" applyBorder="1"/>
    <xf numFmtId="0" fontId="0" fillId="0" borderId="10" xfId="0" applyBorder="1" applyAlignment="1">
      <alignment horizontal="left" indent="1"/>
    </xf>
    <xf numFmtId="0" fontId="0" fillId="0" borderId="10" xfId="0" applyFill="1" applyBorder="1" applyAlignment="1">
      <alignment horizontal="center" wrapText="1"/>
    </xf>
    <xf numFmtId="14" fontId="0" fillId="0" borderId="10" xfId="0" applyNumberFormat="1" applyFill="1" applyBorder="1" applyAlignment="1">
      <alignment horizontal="left" indent="1"/>
    </xf>
    <xf numFmtId="14" fontId="0" fillId="0" borderId="10" xfId="0" applyNumberFormat="1" applyBorder="1" applyAlignment="1">
      <alignment horizontal="left" indent="1"/>
    </xf>
    <xf numFmtId="0" fontId="0" fillId="0" borderId="0" xfId="0" applyBorder="1"/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1" fontId="0" fillId="39" borderId="0" xfId="0" applyNumberFormat="1" applyFill="1" applyBorder="1" applyAlignment="1">
      <alignment horizontal="center"/>
    </xf>
    <xf numFmtId="164" fontId="21" fillId="41" borderId="11" xfId="49" applyNumberFormat="1" applyFont="1" applyFill="1" applyBorder="1" applyAlignment="1">
      <alignment horizontal="center"/>
    </xf>
    <xf numFmtId="164" fontId="0" fillId="43" borderId="15" xfId="0" applyNumberFormat="1" applyFont="1" applyFill="1" applyBorder="1" applyAlignment="1">
      <alignment horizontal="center"/>
    </xf>
    <xf numFmtId="164" fontId="0" fillId="37" borderId="15" xfId="0" applyNumberFormat="1" applyFont="1" applyFill="1" applyBorder="1" applyAlignment="1">
      <alignment horizontal="center"/>
    </xf>
    <xf numFmtId="164" fontId="0" fillId="43" borderId="10" xfId="0" applyNumberFormat="1" applyFont="1" applyFill="1" applyBorder="1" applyAlignment="1">
      <alignment horizontal="center"/>
    </xf>
    <xf numFmtId="164" fontId="0" fillId="43" borderId="11" xfId="49" applyNumberFormat="1" applyFont="1" applyFill="1" applyBorder="1" applyAlignment="1">
      <alignment horizontal="center"/>
    </xf>
    <xf numFmtId="164" fontId="0" fillId="37" borderId="11" xfId="49" applyNumberFormat="1" applyFont="1" applyFill="1" applyBorder="1" applyAlignment="1">
      <alignment horizontal="center"/>
    </xf>
    <xf numFmtId="164" fontId="0" fillId="43" borderId="10" xfId="107" applyNumberFormat="1" applyFont="1" applyFill="1" applyBorder="1" applyAlignment="1">
      <alignment horizontal="center"/>
    </xf>
    <xf numFmtId="164" fontId="0" fillId="35" borderId="11" xfId="0" applyNumberFormat="1" applyFont="1" applyFill="1" applyBorder="1" applyAlignment="1">
      <alignment horizontal="center"/>
    </xf>
    <xf numFmtId="0" fontId="43" fillId="0" borderId="0" xfId="0" applyFont="1"/>
    <xf numFmtId="0" fontId="43" fillId="0" borderId="0" xfId="0" applyFont="1" applyFill="1" applyBorder="1"/>
    <xf numFmtId="1" fontId="44" fillId="42" borderId="15" xfId="0" applyNumberFormat="1" applyFont="1" applyFill="1" applyBorder="1" applyAlignment="1">
      <alignment horizontal="center" wrapText="1"/>
    </xf>
    <xf numFmtId="164" fontId="43" fillId="0" borderId="15" xfId="0" applyNumberFormat="1" applyFont="1" applyFill="1" applyBorder="1" applyAlignment="1">
      <alignment horizontal="center"/>
    </xf>
    <xf numFmtId="0" fontId="27" fillId="0" borderId="0" xfId="0" applyFont="1"/>
    <xf numFmtId="0" fontId="45" fillId="0" borderId="0" xfId="0" applyFont="1"/>
    <xf numFmtId="0" fontId="45" fillId="0" borderId="0" xfId="0" applyFont="1" applyFill="1" applyBorder="1"/>
    <xf numFmtId="164" fontId="45" fillId="0" borderId="10" xfId="0" applyNumberFormat="1" applyFont="1" applyFill="1" applyBorder="1" applyAlignment="1">
      <alignment horizontal="center"/>
    </xf>
    <xf numFmtId="1" fontId="46" fillId="42" borderId="15" xfId="0" applyNumberFormat="1" applyFont="1" applyFill="1" applyBorder="1" applyAlignment="1">
      <alignment horizontal="center" wrapText="1"/>
    </xf>
    <xf numFmtId="1" fontId="46" fillId="42" borderId="10" xfId="0" applyNumberFormat="1" applyFont="1" applyFill="1" applyBorder="1" applyAlignment="1">
      <alignment horizontal="center" wrapText="1"/>
    </xf>
    <xf numFmtId="1" fontId="44" fillId="42" borderId="10" xfId="0" applyNumberFormat="1" applyFont="1" applyFill="1" applyBorder="1" applyAlignment="1">
      <alignment horizontal="center" wrapText="1"/>
    </xf>
    <xf numFmtId="164" fontId="43" fillId="0" borderId="10" xfId="0" applyNumberFormat="1" applyFont="1" applyFill="1" applyBorder="1" applyAlignment="1">
      <alignment horizontal="center"/>
    </xf>
    <xf numFmtId="0" fontId="47" fillId="0" borderId="0" xfId="0" applyFont="1" applyFill="1" applyBorder="1"/>
    <xf numFmtId="0" fontId="48" fillId="0" borderId="0" xfId="0" applyFont="1" applyFill="1" applyBorder="1"/>
    <xf numFmtId="0" fontId="49" fillId="0" borderId="0" xfId="0" applyFont="1" applyFill="1" applyBorder="1"/>
    <xf numFmtId="164" fontId="44" fillId="42" borderId="11" xfId="49" applyNumberFormat="1" applyFont="1" applyFill="1" applyBorder="1" applyAlignment="1">
      <alignment horizontal="center" wrapText="1"/>
    </xf>
    <xf numFmtId="164" fontId="0" fillId="38" borderId="10" xfId="0" applyNumberFormat="1" applyFont="1" applyFill="1" applyBorder="1" applyAlignment="1">
      <alignment horizontal="center"/>
    </xf>
    <xf numFmtId="164" fontId="0" fillId="41" borderId="10" xfId="0" applyNumberFormat="1" applyFont="1" applyFill="1" applyBorder="1" applyAlignment="1">
      <alignment horizontal="center" wrapText="1"/>
    </xf>
    <xf numFmtId="164" fontId="0" fillId="38" borderId="10" xfId="0" applyNumberFormat="1" applyFont="1" applyFill="1" applyBorder="1" applyAlignment="1">
      <alignment horizontal="center" vertical="center"/>
    </xf>
    <xf numFmtId="1" fontId="46" fillId="42" borderId="10" xfId="79" applyNumberFormat="1" applyFont="1" applyFill="1" applyBorder="1" applyAlignment="1">
      <alignment horizontal="center" wrapText="1"/>
    </xf>
    <xf numFmtId="164" fontId="47" fillId="0" borderId="10" xfId="0" applyNumberFormat="1" applyFont="1" applyFill="1" applyBorder="1" applyAlignment="1">
      <alignment horizontal="center"/>
    </xf>
    <xf numFmtId="1" fontId="44" fillId="42" borderId="10" xfId="79" applyNumberFormat="1" applyFont="1" applyFill="1" applyBorder="1" applyAlignment="1">
      <alignment horizontal="center" wrapText="1"/>
    </xf>
    <xf numFmtId="164" fontId="49" fillId="0" borderId="10" xfId="0" applyNumberFormat="1" applyFont="1" applyFill="1" applyBorder="1" applyAlignment="1">
      <alignment horizontal="center"/>
    </xf>
    <xf numFmtId="1" fontId="50" fillId="42" borderId="10" xfId="79" applyNumberFormat="1" applyFont="1" applyFill="1" applyBorder="1" applyAlignment="1">
      <alignment horizontal="center" wrapText="1"/>
    </xf>
    <xf numFmtId="164" fontId="49" fillId="0" borderId="15" xfId="0" applyNumberFormat="1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center"/>
    </xf>
    <xf numFmtId="164" fontId="48" fillId="0" borderId="15" xfId="0" applyNumberFormat="1" applyFont="1" applyFill="1" applyBorder="1" applyAlignment="1">
      <alignment horizontal="center"/>
    </xf>
    <xf numFmtId="164" fontId="47" fillId="0" borderId="15" xfId="0" applyNumberFormat="1" applyFont="1" applyFill="1" applyBorder="1" applyAlignment="1">
      <alignment horizontal="center"/>
    </xf>
    <xf numFmtId="164" fontId="45" fillId="0" borderId="15" xfId="0" applyNumberFormat="1" applyFont="1" applyFill="1" applyBorder="1" applyAlignment="1">
      <alignment horizontal="center"/>
    </xf>
    <xf numFmtId="1" fontId="50" fillId="42" borderId="10" xfId="0" applyNumberFormat="1" applyFont="1" applyFill="1" applyBorder="1" applyAlignment="1">
      <alignment horizontal="center" wrapText="1"/>
    </xf>
    <xf numFmtId="1" fontId="51" fillId="42" borderId="10" xfId="0" applyNumberFormat="1" applyFont="1" applyFill="1" applyBorder="1" applyAlignment="1">
      <alignment horizontal="center" wrapText="1"/>
    </xf>
    <xf numFmtId="1" fontId="51" fillId="42" borderId="10" xfId="79" applyNumberFormat="1" applyFont="1" applyFill="1" applyBorder="1" applyAlignment="1">
      <alignment horizontal="center" wrapText="1"/>
    </xf>
    <xf numFmtId="1" fontId="52" fillId="42" borderId="10" xfId="0" applyNumberFormat="1" applyFont="1" applyFill="1" applyBorder="1" applyAlignment="1">
      <alignment horizontal="center" wrapText="1"/>
    </xf>
    <xf numFmtId="0" fontId="19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0" fontId="19" fillId="41" borderId="10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8" borderId="11" xfId="0" applyFont="1" applyFill="1" applyBorder="1" applyAlignment="1">
      <alignment horizontal="center" vertical="center"/>
    </xf>
    <xf numFmtId="0" fontId="19" fillId="38" borderId="13" xfId="0" applyFont="1" applyFill="1" applyBorder="1" applyAlignment="1">
      <alignment horizontal="center" vertical="center"/>
    </xf>
    <xf numFmtId="0" fontId="19" fillId="38" borderId="12" xfId="0" applyFont="1" applyFill="1" applyBorder="1" applyAlignment="1">
      <alignment horizontal="center" vertical="center"/>
    </xf>
    <xf numFmtId="0" fontId="19" fillId="44" borderId="10" xfId="0" applyFont="1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</cellXfs>
  <cellStyles count="237">
    <cellStyle name="20% - Accent1" xfId="19" builtinId="30" customBuiltin="1"/>
    <cellStyle name="20% - Accent1 2" xfId="56" xr:uid="{00000000-0005-0000-0000-000001000000}"/>
    <cellStyle name="20% - Accent1 2 2" xfId="173" xr:uid="{00000000-0005-0000-0000-000002000000}"/>
    <cellStyle name="20% - Accent1 3" xfId="81" xr:uid="{00000000-0005-0000-0000-000003000000}"/>
    <cellStyle name="20% - Accent1 3 2" xfId="191" xr:uid="{00000000-0005-0000-0000-000004000000}"/>
    <cellStyle name="20% - Accent1 4" xfId="95" xr:uid="{00000000-0005-0000-0000-000005000000}"/>
    <cellStyle name="20% - Accent1 4 2" xfId="205" xr:uid="{00000000-0005-0000-0000-000006000000}"/>
    <cellStyle name="20% - Accent1 5" xfId="109" xr:uid="{00000000-0005-0000-0000-000007000000}"/>
    <cellStyle name="20% - Accent1 6" xfId="145" xr:uid="{00000000-0005-0000-0000-000008000000}"/>
    <cellStyle name="20% - Accent1 7" xfId="224" xr:uid="{00000000-0005-0000-0000-000009000000}"/>
    <cellStyle name="20% - Accent2" xfId="23" builtinId="34" customBuiltin="1"/>
    <cellStyle name="20% - Accent2 2" xfId="60" xr:uid="{00000000-0005-0000-0000-00000B000000}"/>
    <cellStyle name="20% - Accent2 2 2" xfId="177" xr:uid="{00000000-0005-0000-0000-00000C000000}"/>
    <cellStyle name="20% - Accent2 3" xfId="83" xr:uid="{00000000-0005-0000-0000-00000D000000}"/>
    <cellStyle name="20% - Accent2 3 2" xfId="193" xr:uid="{00000000-0005-0000-0000-00000E000000}"/>
    <cellStyle name="20% - Accent2 4" xfId="97" xr:uid="{00000000-0005-0000-0000-00000F000000}"/>
    <cellStyle name="20% - Accent2 4 2" xfId="207" xr:uid="{00000000-0005-0000-0000-000010000000}"/>
    <cellStyle name="20% - Accent2 5" xfId="111" xr:uid="{00000000-0005-0000-0000-000011000000}"/>
    <cellStyle name="20% - Accent2 6" xfId="149" xr:uid="{00000000-0005-0000-0000-000012000000}"/>
    <cellStyle name="20% - Accent2 7" xfId="236" xr:uid="{00000000-0005-0000-0000-000013000000}"/>
    <cellStyle name="20% - Accent3" xfId="27" builtinId="38" customBuiltin="1"/>
    <cellStyle name="20% - Accent3 2" xfId="64" xr:uid="{00000000-0005-0000-0000-000015000000}"/>
    <cellStyle name="20% - Accent3 2 2" xfId="179" xr:uid="{00000000-0005-0000-0000-000016000000}"/>
    <cellStyle name="20% - Accent3 3" xfId="85" xr:uid="{00000000-0005-0000-0000-000017000000}"/>
    <cellStyle name="20% - Accent3 3 2" xfId="195" xr:uid="{00000000-0005-0000-0000-000018000000}"/>
    <cellStyle name="20% - Accent3 4" xfId="99" xr:uid="{00000000-0005-0000-0000-000019000000}"/>
    <cellStyle name="20% - Accent3 4 2" xfId="209" xr:uid="{00000000-0005-0000-0000-00001A000000}"/>
    <cellStyle name="20% - Accent3 5" xfId="113" xr:uid="{00000000-0005-0000-0000-00001B000000}"/>
    <cellStyle name="20% - Accent3 6" xfId="153" xr:uid="{00000000-0005-0000-0000-00001C000000}"/>
    <cellStyle name="20% - Accent3 7" xfId="229" xr:uid="{00000000-0005-0000-0000-00001D000000}"/>
    <cellStyle name="20% - Accent4" xfId="31" builtinId="42" customBuiltin="1"/>
    <cellStyle name="20% - Accent4 2" xfId="68" xr:uid="{00000000-0005-0000-0000-00001F000000}"/>
    <cellStyle name="20% - Accent4 2 2" xfId="182" xr:uid="{00000000-0005-0000-0000-000020000000}"/>
    <cellStyle name="20% - Accent4 3" xfId="87" xr:uid="{00000000-0005-0000-0000-000021000000}"/>
    <cellStyle name="20% - Accent4 3 2" xfId="197" xr:uid="{00000000-0005-0000-0000-000022000000}"/>
    <cellStyle name="20% - Accent4 4" xfId="101" xr:uid="{00000000-0005-0000-0000-000023000000}"/>
    <cellStyle name="20% - Accent4 4 2" xfId="211" xr:uid="{00000000-0005-0000-0000-000024000000}"/>
    <cellStyle name="20% - Accent4 5" xfId="115" xr:uid="{00000000-0005-0000-0000-000025000000}"/>
    <cellStyle name="20% - Accent4 6" xfId="157" xr:uid="{00000000-0005-0000-0000-000026000000}"/>
    <cellStyle name="20% - Accent4 7" xfId="219" xr:uid="{00000000-0005-0000-0000-000027000000}"/>
    <cellStyle name="20% - Accent5" xfId="35" builtinId="46" customBuiltin="1"/>
    <cellStyle name="20% - Accent5 2" xfId="72" xr:uid="{00000000-0005-0000-0000-000029000000}"/>
    <cellStyle name="20% - Accent5 2 2" xfId="184" xr:uid="{00000000-0005-0000-0000-00002A000000}"/>
    <cellStyle name="20% - Accent5 3" xfId="89" xr:uid="{00000000-0005-0000-0000-00002B000000}"/>
    <cellStyle name="20% - Accent5 3 2" xfId="199" xr:uid="{00000000-0005-0000-0000-00002C000000}"/>
    <cellStyle name="20% - Accent5 4" xfId="103" xr:uid="{00000000-0005-0000-0000-00002D000000}"/>
    <cellStyle name="20% - Accent5 4 2" xfId="213" xr:uid="{00000000-0005-0000-0000-00002E000000}"/>
    <cellStyle name="20% - Accent5 5" xfId="117" xr:uid="{00000000-0005-0000-0000-00002F000000}"/>
    <cellStyle name="20% - Accent5 6" xfId="161" xr:uid="{00000000-0005-0000-0000-000030000000}"/>
    <cellStyle name="20% - Accent5 7" xfId="221" xr:uid="{00000000-0005-0000-0000-000031000000}"/>
    <cellStyle name="20% - Accent6" xfId="39" builtinId="50" customBuiltin="1"/>
    <cellStyle name="20% - Accent6 2" xfId="76" xr:uid="{00000000-0005-0000-0000-000033000000}"/>
    <cellStyle name="20% - Accent6 2 2" xfId="187" xr:uid="{00000000-0005-0000-0000-000034000000}"/>
    <cellStyle name="20% - Accent6 3" xfId="91" xr:uid="{00000000-0005-0000-0000-000035000000}"/>
    <cellStyle name="20% - Accent6 3 2" xfId="201" xr:uid="{00000000-0005-0000-0000-000036000000}"/>
    <cellStyle name="20% - Accent6 4" xfId="105" xr:uid="{00000000-0005-0000-0000-000037000000}"/>
    <cellStyle name="20% - Accent6 4 2" xfId="215" xr:uid="{00000000-0005-0000-0000-000038000000}"/>
    <cellStyle name="20% - Accent6 5" xfId="119" xr:uid="{00000000-0005-0000-0000-000039000000}"/>
    <cellStyle name="20% - Accent6 6" xfId="165" xr:uid="{00000000-0005-0000-0000-00003A000000}"/>
    <cellStyle name="20% - Accent6 7" xfId="234" xr:uid="{00000000-0005-0000-0000-00003B000000}"/>
    <cellStyle name="40% - Accent1" xfId="20" builtinId="31" customBuiltin="1"/>
    <cellStyle name="40% - Accent1 2" xfId="57" xr:uid="{00000000-0005-0000-0000-00003D000000}"/>
    <cellStyle name="40% - Accent1 2 2" xfId="174" xr:uid="{00000000-0005-0000-0000-00003E000000}"/>
    <cellStyle name="40% - Accent1 3" xfId="82" xr:uid="{00000000-0005-0000-0000-00003F000000}"/>
    <cellStyle name="40% - Accent1 3 2" xfId="192" xr:uid="{00000000-0005-0000-0000-000040000000}"/>
    <cellStyle name="40% - Accent1 4" xfId="96" xr:uid="{00000000-0005-0000-0000-000041000000}"/>
    <cellStyle name="40% - Accent1 4 2" xfId="206" xr:uid="{00000000-0005-0000-0000-000042000000}"/>
    <cellStyle name="40% - Accent1 5" xfId="110" xr:uid="{00000000-0005-0000-0000-000043000000}"/>
    <cellStyle name="40% - Accent1 6" xfId="146" xr:uid="{00000000-0005-0000-0000-000044000000}"/>
    <cellStyle name="40% - Accent1 7" xfId="217" xr:uid="{00000000-0005-0000-0000-000045000000}"/>
    <cellStyle name="40% - Accent2" xfId="24" builtinId="35" customBuiltin="1"/>
    <cellStyle name="40% - Accent2 2" xfId="61" xr:uid="{00000000-0005-0000-0000-000047000000}"/>
    <cellStyle name="40% - Accent2 2 2" xfId="178" xr:uid="{00000000-0005-0000-0000-000048000000}"/>
    <cellStyle name="40% - Accent2 3" xfId="84" xr:uid="{00000000-0005-0000-0000-000049000000}"/>
    <cellStyle name="40% - Accent2 3 2" xfId="194" xr:uid="{00000000-0005-0000-0000-00004A000000}"/>
    <cellStyle name="40% - Accent2 4" xfId="98" xr:uid="{00000000-0005-0000-0000-00004B000000}"/>
    <cellStyle name="40% - Accent2 4 2" xfId="208" xr:uid="{00000000-0005-0000-0000-00004C000000}"/>
    <cellStyle name="40% - Accent2 5" xfId="112" xr:uid="{00000000-0005-0000-0000-00004D000000}"/>
    <cellStyle name="40% - Accent2 6" xfId="150" xr:uid="{00000000-0005-0000-0000-00004E000000}"/>
    <cellStyle name="40% - Accent2 7" xfId="218" xr:uid="{00000000-0005-0000-0000-00004F000000}"/>
    <cellStyle name="40% - Accent3" xfId="28" builtinId="39" customBuiltin="1"/>
    <cellStyle name="40% - Accent3 2" xfId="65" xr:uid="{00000000-0005-0000-0000-000051000000}"/>
    <cellStyle name="40% - Accent3 2 2" xfId="180" xr:uid="{00000000-0005-0000-0000-000052000000}"/>
    <cellStyle name="40% - Accent3 3" xfId="86" xr:uid="{00000000-0005-0000-0000-000053000000}"/>
    <cellStyle name="40% - Accent3 3 2" xfId="196" xr:uid="{00000000-0005-0000-0000-000054000000}"/>
    <cellStyle name="40% - Accent3 4" xfId="100" xr:uid="{00000000-0005-0000-0000-000055000000}"/>
    <cellStyle name="40% - Accent3 4 2" xfId="210" xr:uid="{00000000-0005-0000-0000-000056000000}"/>
    <cellStyle name="40% - Accent3 5" xfId="114" xr:uid="{00000000-0005-0000-0000-000057000000}"/>
    <cellStyle name="40% - Accent3 6" xfId="154" xr:uid="{00000000-0005-0000-0000-000058000000}"/>
    <cellStyle name="40% - Accent3 7" xfId="121" xr:uid="{00000000-0005-0000-0000-000059000000}"/>
    <cellStyle name="40% - Accent4" xfId="32" builtinId="43" customBuiltin="1"/>
    <cellStyle name="40% - Accent4 2" xfId="69" xr:uid="{00000000-0005-0000-0000-00005B000000}"/>
    <cellStyle name="40% - Accent4 2 2" xfId="183" xr:uid="{00000000-0005-0000-0000-00005C000000}"/>
    <cellStyle name="40% - Accent4 3" xfId="88" xr:uid="{00000000-0005-0000-0000-00005D000000}"/>
    <cellStyle name="40% - Accent4 3 2" xfId="198" xr:uid="{00000000-0005-0000-0000-00005E000000}"/>
    <cellStyle name="40% - Accent4 4" xfId="102" xr:uid="{00000000-0005-0000-0000-00005F000000}"/>
    <cellStyle name="40% - Accent4 4 2" xfId="212" xr:uid="{00000000-0005-0000-0000-000060000000}"/>
    <cellStyle name="40% - Accent4 5" xfId="116" xr:uid="{00000000-0005-0000-0000-000061000000}"/>
    <cellStyle name="40% - Accent4 6" xfId="158" xr:uid="{00000000-0005-0000-0000-000062000000}"/>
    <cellStyle name="40% - Accent4 7" xfId="126" xr:uid="{00000000-0005-0000-0000-000063000000}"/>
    <cellStyle name="40% - Accent5" xfId="36" builtinId="47" customBuiltin="1"/>
    <cellStyle name="40% - Accent5 2" xfId="73" xr:uid="{00000000-0005-0000-0000-000065000000}"/>
    <cellStyle name="40% - Accent5 2 2" xfId="185" xr:uid="{00000000-0005-0000-0000-000066000000}"/>
    <cellStyle name="40% - Accent5 3" xfId="90" xr:uid="{00000000-0005-0000-0000-000067000000}"/>
    <cellStyle name="40% - Accent5 3 2" xfId="200" xr:uid="{00000000-0005-0000-0000-000068000000}"/>
    <cellStyle name="40% - Accent5 4" xfId="104" xr:uid="{00000000-0005-0000-0000-000069000000}"/>
    <cellStyle name="40% - Accent5 4 2" xfId="214" xr:uid="{00000000-0005-0000-0000-00006A000000}"/>
    <cellStyle name="40% - Accent5 5" xfId="118" xr:uid="{00000000-0005-0000-0000-00006B000000}"/>
    <cellStyle name="40% - Accent5 6" xfId="162" xr:uid="{00000000-0005-0000-0000-00006C000000}"/>
    <cellStyle name="40% - Accent5 7" xfId="124" xr:uid="{00000000-0005-0000-0000-00006D000000}"/>
    <cellStyle name="40% - Accent6" xfId="40" builtinId="51" customBuiltin="1"/>
    <cellStyle name="40% - Accent6 2" xfId="77" xr:uid="{00000000-0005-0000-0000-00006F000000}"/>
    <cellStyle name="40% - Accent6 2 2" xfId="188" xr:uid="{00000000-0005-0000-0000-000070000000}"/>
    <cellStyle name="40% - Accent6 3" xfId="92" xr:uid="{00000000-0005-0000-0000-000071000000}"/>
    <cellStyle name="40% - Accent6 3 2" xfId="202" xr:uid="{00000000-0005-0000-0000-000072000000}"/>
    <cellStyle name="40% - Accent6 4" xfId="106" xr:uid="{00000000-0005-0000-0000-000073000000}"/>
    <cellStyle name="40% - Accent6 4 2" xfId="216" xr:uid="{00000000-0005-0000-0000-000074000000}"/>
    <cellStyle name="40% - Accent6 5" xfId="120" xr:uid="{00000000-0005-0000-0000-000075000000}"/>
    <cellStyle name="40% - Accent6 6" xfId="166" xr:uid="{00000000-0005-0000-0000-000076000000}"/>
    <cellStyle name="40% - Accent6 7" xfId="227" xr:uid="{00000000-0005-0000-0000-000077000000}"/>
    <cellStyle name="60% - Accent1" xfId="21" builtinId="32" customBuiltin="1"/>
    <cellStyle name="60% - Accent1 2" xfId="58" xr:uid="{00000000-0005-0000-0000-000079000000}"/>
    <cellStyle name="60% - Accent1 3" xfId="147" xr:uid="{00000000-0005-0000-0000-00007A000000}"/>
    <cellStyle name="60% - Accent1 4" xfId="232" xr:uid="{00000000-0005-0000-0000-00007B000000}"/>
    <cellStyle name="60% - Accent2" xfId="25" builtinId="36" customBuiltin="1"/>
    <cellStyle name="60% - Accent2 2" xfId="62" xr:uid="{00000000-0005-0000-0000-00007D000000}"/>
    <cellStyle name="60% - Accent2 3" xfId="151" xr:uid="{00000000-0005-0000-0000-00007E000000}"/>
    <cellStyle name="60% - Accent2 4" xfId="169" xr:uid="{00000000-0005-0000-0000-00007F000000}"/>
    <cellStyle name="60% - Accent3" xfId="29" builtinId="40" customBuiltin="1"/>
    <cellStyle name="60% - Accent3 2" xfId="66" xr:uid="{00000000-0005-0000-0000-000081000000}"/>
    <cellStyle name="60% - Accent3 3" xfId="155" xr:uid="{00000000-0005-0000-0000-000082000000}"/>
    <cellStyle name="60% - Accent3 4" xfId="231" xr:uid="{00000000-0005-0000-0000-000083000000}"/>
    <cellStyle name="60% - Accent4" xfId="33" builtinId="44" customBuiltin="1"/>
    <cellStyle name="60% - Accent4 2" xfId="70" xr:uid="{00000000-0005-0000-0000-000085000000}"/>
    <cellStyle name="60% - Accent4 3" xfId="159" xr:uid="{00000000-0005-0000-0000-000086000000}"/>
    <cellStyle name="60% - Accent4 4" xfId="130" xr:uid="{00000000-0005-0000-0000-000087000000}"/>
    <cellStyle name="60% - Accent5" xfId="37" builtinId="48" customBuiltin="1"/>
    <cellStyle name="60% - Accent5 2" xfId="74" xr:uid="{00000000-0005-0000-0000-000089000000}"/>
    <cellStyle name="60% - Accent5 3" xfId="163" xr:uid="{00000000-0005-0000-0000-00008A000000}"/>
    <cellStyle name="60% - Accent5 4" xfId="122" xr:uid="{00000000-0005-0000-0000-00008B000000}"/>
    <cellStyle name="60% - Accent6" xfId="41" builtinId="52" customBuiltin="1"/>
    <cellStyle name="60% - Accent6 2" xfId="78" xr:uid="{00000000-0005-0000-0000-00008D000000}"/>
    <cellStyle name="60% - Accent6 3" xfId="167" xr:uid="{00000000-0005-0000-0000-00008E000000}"/>
    <cellStyle name="60% - Accent6 4" xfId="129" xr:uid="{00000000-0005-0000-0000-00008F000000}"/>
    <cellStyle name="Accent1" xfId="18" builtinId="29" customBuiltin="1"/>
    <cellStyle name="Accent1 2" xfId="55" xr:uid="{00000000-0005-0000-0000-000091000000}"/>
    <cellStyle name="Accent1 3" xfId="144" xr:uid="{00000000-0005-0000-0000-000092000000}"/>
    <cellStyle name="Accent1 4" xfId="235" xr:uid="{00000000-0005-0000-0000-000093000000}"/>
    <cellStyle name="Accent2" xfId="22" builtinId="33" customBuiltin="1"/>
    <cellStyle name="Accent2 2" xfId="59" xr:uid="{00000000-0005-0000-0000-000095000000}"/>
    <cellStyle name="Accent2 3" xfId="148" xr:uid="{00000000-0005-0000-0000-000096000000}"/>
    <cellStyle name="Accent2 4" xfId="226" xr:uid="{00000000-0005-0000-0000-000097000000}"/>
    <cellStyle name="Accent3" xfId="26" builtinId="37" customBuiltin="1"/>
    <cellStyle name="Accent3 2" xfId="63" xr:uid="{00000000-0005-0000-0000-000099000000}"/>
    <cellStyle name="Accent3 3" xfId="152" xr:uid="{00000000-0005-0000-0000-00009A000000}"/>
    <cellStyle name="Accent3 4" xfId="175" xr:uid="{00000000-0005-0000-0000-00009B000000}"/>
    <cellStyle name="Accent4" xfId="30" builtinId="41" customBuiltin="1"/>
    <cellStyle name="Accent4 2" xfId="67" xr:uid="{00000000-0005-0000-0000-00009D000000}"/>
    <cellStyle name="Accent4 3" xfId="156" xr:uid="{00000000-0005-0000-0000-00009E000000}"/>
    <cellStyle name="Accent4 4" xfId="186" xr:uid="{00000000-0005-0000-0000-00009F000000}"/>
    <cellStyle name="Accent5" xfId="34" builtinId="45" customBuiltin="1"/>
    <cellStyle name="Accent5 2" xfId="71" xr:uid="{00000000-0005-0000-0000-0000A1000000}"/>
    <cellStyle name="Accent5 3" xfId="160" xr:uid="{00000000-0005-0000-0000-0000A2000000}"/>
    <cellStyle name="Accent5 4" xfId="233" xr:uid="{00000000-0005-0000-0000-0000A3000000}"/>
    <cellStyle name="Accent6" xfId="38" builtinId="49" customBuiltin="1"/>
    <cellStyle name="Accent6 2" xfId="75" xr:uid="{00000000-0005-0000-0000-0000A5000000}"/>
    <cellStyle name="Accent6 3" xfId="164" xr:uid="{00000000-0005-0000-0000-0000A6000000}"/>
    <cellStyle name="Accent6 4" xfId="230" xr:uid="{00000000-0005-0000-0000-0000A7000000}"/>
    <cellStyle name="Bad" xfId="7" builtinId="27" customBuiltin="1"/>
    <cellStyle name="Bad 2" xfId="47" xr:uid="{00000000-0005-0000-0000-0000A9000000}"/>
    <cellStyle name="Bad 3" xfId="133" xr:uid="{00000000-0005-0000-0000-0000AA000000}"/>
    <cellStyle name="Bad 4" xfId="172" xr:uid="{00000000-0005-0000-0000-0000AB000000}"/>
    <cellStyle name="Calculation" xfId="11" builtinId="22" customBuiltin="1"/>
    <cellStyle name="Calculation 2" xfId="48" xr:uid="{00000000-0005-0000-0000-0000AD000000}"/>
    <cellStyle name="Calculation 3" xfId="137" xr:uid="{00000000-0005-0000-0000-0000AE000000}"/>
    <cellStyle name="Calculation 4" xfId="127" xr:uid="{00000000-0005-0000-0000-0000AF000000}"/>
    <cellStyle name="Check Cell" xfId="13" builtinId="23" customBuiltin="1"/>
    <cellStyle name="Check Cell 2" xfId="50" xr:uid="{00000000-0005-0000-0000-0000B1000000}"/>
    <cellStyle name="Check Cell 3" xfId="139" xr:uid="{00000000-0005-0000-0000-0000B2000000}"/>
    <cellStyle name="Check Cell 4" xfId="125" xr:uid="{00000000-0005-0000-0000-0000B3000000}"/>
    <cellStyle name="Explanatory Text" xfId="16" builtinId="53" customBuiltin="1"/>
    <cellStyle name="Explanatory Text 2" xfId="53" xr:uid="{00000000-0005-0000-0000-0000B5000000}"/>
    <cellStyle name="Explanatory Text 3" xfId="142" xr:uid="{00000000-0005-0000-0000-0000B6000000}"/>
    <cellStyle name="Explanatory Text 4" xfId="181" xr:uid="{00000000-0005-0000-0000-0000B7000000}"/>
    <cellStyle name="Good" xfId="6" builtinId="26" customBuiltin="1"/>
    <cellStyle name="Good 2" xfId="43" xr:uid="{00000000-0005-0000-0000-0000B9000000}"/>
    <cellStyle name="Good 3" xfId="132" xr:uid="{00000000-0005-0000-0000-0000BA000000}"/>
    <cellStyle name="Good 4" xfId="123" xr:uid="{00000000-0005-0000-0000-0000BB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 xr:uid="{00000000-0005-0000-0000-0000C1000000}"/>
    <cellStyle name="Input 3" xfId="135" xr:uid="{00000000-0005-0000-0000-0000C2000000}"/>
    <cellStyle name="Input 4" xfId="225" xr:uid="{00000000-0005-0000-0000-0000C3000000}"/>
    <cellStyle name="Linked Cell" xfId="12" builtinId="24" customBuiltin="1"/>
    <cellStyle name="Linked Cell 2" xfId="46" xr:uid="{00000000-0005-0000-0000-0000C5000000}"/>
    <cellStyle name="Linked Cell 3" xfId="138" xr:uid="{00000000-0005-0000-0000-0000C6000000}"/>
    <cellStyle name="Linked Cell 4" xfId="222" xr:uid="{00000000-0005-0000-0000-0000C7000000}"/>
    <cellStyle name="Neutral" xfId="8" builtinId="28" customBuiltin="1"/>
    <cellStyle name="Neutral 2" xfId="42" xr:uid="{00000000-0005-0000-0000-0000C9000000}"/>
    <cellStyle name="Neutral 3" xfId="134" xr:uid="{00000000-0005-0000-0000-0000CA000000}"/>
    <cellStyle name="Neutral 4" xfId="223" xr:uid="{00000000-0005-0000-0000-0000CB000000}"/>
    <cellStyle name="Normal" xfId="0" builtinId="0"/>
    <cellStyle name="Normal 2" xfId="49" xr:uid="{00000000-0005-0000-0000-0000CD000000}"/>
    <cellStyle name="Normal 2 2" xfId="168" xr:uid="{00000000-0005-0000-0000-0000CE000000}"/>
    <cellStyle name="Normal 3" xfId="79" xr:uid="{00000000-0005-0000-0000-0000CF000000}"/>
    <cellStyle name="Normal 3 2" xfId="189" xr:uid="{00000000-0005-0000-0000-0000D0000000}"/>
    <cellStyle name="Normal 4" xfId="93" xr:uid="{00000000-0005-0000-0000-0000D1000000}"/>
    <cellStyle name="Normal 4 2" xfId="203" xr:uid="{00000000-0005-0000-0000-0000D2000000}"/>
    <cellStyle name="Normal 5" xfId="107" xr:uid="{00000000-0005-0000-0000-0000D3000000}"/>
    <cellStyle name="Normal 6" xfId="131" xr:uid="{00000000-0005-0000-0000-0000D4000000}"/>
    <cellStyle name="Normal 7" xfId="170" xr:uid="{00000000-0005-0000-0000-0000D5000000}"/>
    <cellStyle name="Note" xfId="15" builtinId="10" customBuiltin="1"/>
    <cellStyle name="Note 2" xfId="52" xr:uid="{00000000-0005-0000-0000-0000D7000000}"/>
    <cellStyle name="Note 2 2" xfId="171" xr:uid="{00000000-0005-0000-0000-0000D8000000}"/>
    <cellStyle name="Note 3" xfId="80" xr:uid="{00000000-0005-0000-0000-0000D9000000}"/>
    <cellStyle name="Note 3 2" xfId="190" xr:uid="{00000000-0005-0000-0000-0000DA000000}"/>
    <cellStyle name="Note 4" xfId="94" xr:uid="{00000000-0005-0000-0000-0000DB000000}"/>
    <cellStyle name="Note 4 2" xfId="204" xr:uid="{00000000-0005-0000-0000-0000DC000000}"/>
    <cellStyle name="Note 5" xfId="108" xr:uid="{00000000-0005-0000-0000-0000DD000000}"/>
    <cellStyle name="Note 6" xfId="141" xr:uid="{00000000-0005-0000-0000-0000DE000000}"/>
    <cellStyle name="Note 7" xfId="128" xr:uid="{00000000-0005-0000-0000-0000DF000000}"/>
    <cellStyle name="Output" xfId="10" builtinId="21" customBuiltin="1"/>
    <cellStyle name="Output 2" xfId="45" xr:uid="{00000000-0005-0000-0000-0000E1000000}"/>
    <cellStyle name="Output 3" xfId="136" xr:uid="{00000000-0005-0000-0000-0000E2000000}"/>
    <cellStyle name="Output 4" xfId="176" xr:uid="{00000000-0005-0000-0000-0000E3000000}"/>
    <cellStyle name="Title" xfId="1" builtinId="15" customBuiltin="1"/>
    <cellStyle name="Total" xfId="17" builtinId="25" customBuiltin="1"/>
    <cellStyle name="Total 2" xfId="54" xr:uid="{00000000-0005-0000-0000-0000E6000000}"/>
    <cellStyle name="Total 3" xfId="143" xr:uid="{00000000-0005-0000-0000-0000E7000000}"/>
    <cellStyle name="Total 4" xfId="220" xr:uid="{00000000-0005-0000-0000-0000E8000000}"/>
    <cellStyle name="Warning Text" xfId="14" builtinId="11" customBuiltin="1"/>
    <cellStyle name="Warning Text 2" xfId="51" xr:uid="{00000000-0005-0000-0000-0000EA000000}"/>
    <cellStyle name="Warning Text 3" xfId="140" xr:uid="{00000000-0005-0000-0000-0000EB000000}"/>
    <cellStyle name="Warning Text 4" xfId="228" xr:uid="{00000000-0005-0000-0000-0000EC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A312"/>
  <sheetViews>
    <sheetView tabSelected="1" topLeftCell="A63" workbookViewId="0">
      <selection activeCell="A76" sqref="A43:XFD76"/>
    </sheetView>
  </sheetViews>
  <sheetFormatPr defaultRowHeight="14.4" x14ac:dyDescent="0.3"/>
  <cols>
    <col min="2" max="3" width="9.109375" customWidth="1"/>
    <col min="5" max="5" width="18.109375" style="92" customWidth="1"/>
    <col min="6" max="6" width="9.109375" style="92" customWidth="1"/>
    <col min="7" max="7" width="19" style="92" customWidth="1"/>
    <col min="8" max="8" width="9.109375" style="92" customWidth="1"/>
    <col min="9" max="9" width="14.44140625" style="92" customWidth="1"/>
    <col min="10" max="10" width="8.88671875" style="126" customWidth="1"/>
    <col min="11" max="11" width="9.109375" style="213" customWidth="1"/>
    <col min="12" max="12" width="9.109375" style="133" customWidth="1"/>
    <col min="13" max="13" width="15.109375" style="21" customWidth="1"/>
    <col min="14" max="14" width="9.109375" style="21" customWidth="1"/>
    <col min="15" max="15" width="9.109375" style="187" customWidth="1"/>
    <col min="16" max="16" width="9.109375" style="18" customWidth="1"/>
    <col min="17" max="17" width="12.109375" customWidth="1"/>
    <col min="18" max="18" width="9.109375" customWidth="1"/>
    <col min="19" max="21" width="9.109375" style="11" customWidth="1"/>
    <col min="22" max="23" width="9.109375" customWidth="1"/>
  </cols>
  <sheetData>
    <row r="1" spans="1:23" ht="40.799999999999997" x14ac:dyDescent="0.3">
      <c r="A1" s="383" t="s">
        <v>72</v>
      </c>
      <c r="B1" s="383"/>
      <c r="C1" s="383"/>
      <c r="D1" s="383"/>
      <c r="E1" s="384" t="s">
        <v>53</v>
      </c>
      <c r="F1" s="384"/>
      <c r="G1" s="384"/>
      <c r="H1" s="384"/>
      <c r="I1" s="80"/>
      <c r="J1" s="115"/>
      <c r="K1" s="159" t="s">
        <v>70</v>
      </c>
      <c r="L1" s="61" t="s">
        <v>69</v>
      </c>
      <c r="M1" s="385" t="s">
        <v>54</v>
      </c>
      <c r="N1" s="385"/>
      <c r="O1" s="190" t="s">
        <v>55</v>
      </c>
      <c r="P1" s="386" t="s">
        <v>56</v>
      </c>
      <c r="Q1" s="386"/>
      <c r="R1" s="387" t="s">
        <v>57</v>
      </c>
      <c r="S1" s="379" t="s">
        <v>19</v>
      </c>
      <c r="T1" s="380"/>
      <c r="U1" s="380"/>
      <c r="V1" s="101" t="s">
        <v>20</v>
      </c>
      <c r="W1" s="57"/>
    </row>
    <row r="2" spans="1:23" ht="28.8" x14ac:dyDescent="0.3">
      <c r="A2" s="5" t="s">
        <v>7</v>
      </c>
      <c r="B2" s="2" t="s">
        <v>0</v>
      </c>
      <c r="C2" s="2" t="s">
        <v>1</v>
      </c>
      <c r="D2" s="3" t="s">
        <v>8</v>
      </c>
      <c r="E2" s="81" t="s">
        <v>13</v>
      </c>
      <c r="F2" s="82" t="s">
        <v>12</v>
      </c>
      <c r="G2" s="81" t="s">
        <v>14</v>
      </c>
      <c r="H2" s="82" t="s">
        <v>33</v>
      </c>
      <c r="I2" s="81" t="s">
        <v>29</v>
      </c>
      <c r="J2" s="116" t="s">
        <v>34</v>
      </c>
      <c r="K2" s="149" t="s">
        <v>68</v>
      </c>
      <c r="L2" s="60" t="s">
        <v>71</v>
      </c>
      <c r="M2" s="127" t="s">
        <v>9</v>
      </c>
      <c r="N2" s="77" t="s">
        <v>15</v>
      </c>
      <c r="O2" s="185" t="s">
        <v>16</v>
      </c>
      <c r="P2" s="34" t="s">
        <v>17</v>
      </c>
      <c r="Q2" s="54" t="s">
        <v>18</v>
      </c>
      <c r="R2" s="387"/>
      <c r="S2" s="107" t="s">
        <v>21</v>
      </c>
      <c r="T2" s="107" t="s">
        <v>22</v>
      </c>
      <c r="U2" s="107" t="s">
        <v>23</v>
      </c>
      <c r="V2" s="105" t="s">
        <v>24</v>
      </c>
      <c r="W2" s="58" t="s">
        <v>25</v>
      </c>
    </row>
    <row r="3" spans="1:23" x14ac:dyDescent="0.3">
      <c r="A3" s="1">
        <v>11532</v>
      </c>
      <c r="B3" s="1" t="s">
        <v>2</v>
      </c>
      <c r="C3" s="1" t="s">
        <v>3</v>
      </c>
      <c r="D3" s="4">
        <v>12.775228569039999</v>
      </c>
      <c r="E3" s="89" t="s">
        <v>65</v>
      </c>
      <c r="F3" s="84">
        <v>12.775228569039999</v>
      </c>
      <c r="G3" s="83"/>
      <c r="H3" s="84"/>
      <c r="I3" s="84"/>
      <c r="J3" s="119"/>
      <c r="K3" s="177">
        <v>5.5222175481000004</v>
      </c>
      <c r="L3" s="62">
        <v>8.5010050564099995</v>
      </c>
      <c r="M3" s="129"/>
      <c r="N3" s="76"/>
      <c r="O3" s="144"/>
      <c r="P3" s="6">
        <v>12.775228568999999</v>
      </c>
      <c r="Q3" s="16">
        <f>D3-P3</f>
        <v>4.000000330961484E-11</v>
      </c>
      <c r="R3" s="8">
        <v>0</v>
      </c>
      <c r="S3" s="13">
        <v>2.9134995667200001</v>
      </c>
      <c r="T3" s="13">
        <v>0</v>
      </c>
      <c r="U3" s="13">
        <v>4.7321389501600004</v>
      </c>
      <c r="V3" s="56">
        <v>2.8307909267200002</v>
      </c>
      <c r="W3" s="29">
        <f xml:space="preserve"> D3-(S3+T3+U3+V3)</f>
        <v>2.2987991254399986</v>
      </c>
    </row>
    <row r="4" spans="1:23" x14ac:dyDescent="0.3">
      <c r="A4" s="1">
        <v>11534</v>
      </c>
      <c r="B4" s="1" t="s">
        <v>2</v>
      </c>
      <c r="C4" s="1" t="s">
        <v>3</v>
      </c>
      <c r="D4" s="4">
        <v>45.40446627491</v>
      </c>
      <c r="E4" s="89" t="s">
        <v>62</v>
      </c>
      <c r="F4" s="84">
        <v>45.40446627491</v>
      </c>
      <c r="G4" s="85"/>
      <c r="H4" s="86"/>
      <c r="I4" s="87"/>
      <c r="J4" s="123"/>
      <c r="K4" s="177">
        <v>1.09057700347</v>
      </c>
      <c r="L4" s="62">
        <v>0</v>
      </c>
      <c r="M4" s="129"/>
      <c r="N4" s="76"/>
      <c r="O4" s="194"/>
      <c r="P4" s="6">
        <v>45.404466274900003</v>
      </c>
      <c r="Q4" s="16">
        <f t="shared" ref="Q4:Q67" si="0">D4-P4</f>
        <v>9.9973362921446096E-12</v>
      </c>
      <c r="R4" s="8">
        <v>0</v>
      </c>
      <c r="S4" s="13">
        <v>28.8140723526</v>
      </c>
      <c r="T4" s="13">
        <v>0.88634737452099999</v>
      </c>
      <c r="U4" s="13">
        <v>12.9533468588</v>
      </c>
      <c r="V4" s="56">
        <v>0</v>
      </c>
      <c r="W4" s="29">
        <f t="shared" ref="W4:W39" si="1" xml:space="preserve"> D4-(S4+T4+U4+V4)</f>
        <v>2.7506996889889948</v>
      </c>
    </row>
    <row r="5" spans="1:23" x14ac:dyDescent="0.3">
      <c r="A5" s="1">
        <v>11536</v>
      </c>
      <c r="B5" s="1" t="s">
        <v>2</v>
      </c>
      <c r="C5" s="1" t="s">
        <v>3</v>
      </c>
      <c r="D5" s="4">
        <v>21.718901000350002</v>
      </c>
      <c r="E5" s="85"/>
      <c r="F5" s="86"/>
      <c r="G5" s="85"/>
      <c r="H5" s="86"/>
      <c r="I5" s="84"/>
      <c r="J5" s="119"/>
      <c r="K5" s="177">
        <v>0</v>
      </c>
      <c r="L5" s="62">
        <v>0</v>
      </c>
      <c r="M5" s="129" t="s">
        <v>39</v>
      </c>
      <c r="N5" s="76">
        <v>21.7</v>
      </c>
      <c r="O5" s="144"/>
      <c r="P5" s="6">
        <v>0</v>
      </c>
      <c r="Q5" s="16">
        <f t="shared" si="0"/>
        <v>21.718901000350002</v>
      </c>
      <c r="R5" s="8">
        <v>16.562094321</v>
      </c>
      <c r="S5" s="13">
        <v>0</v>
      </c>
      <c r="T5" s="13">
        <v>0</v>
      </c>
      <c r="U5" s="13">
        <v>5.1573675371899999</v>
      </c>
      <c r="V5" s="56">
        <v>0</v>
      </c>
      <c r="W5" s="29">
        <f t="shared" si="1"/>
        <v>16.561533463160004</v>
      </c>
    </row>
    <row r="6" spans="1:23" x14ac:dyDescent="0.3">
      <c r="A6" s="1">
        <v>11537</v>
      </c>
      <c r="B6" s="1" t="s">
        <v>2</v>
      </c>
      <c r="C6" s="1" t="s">
        <v>3</v>
      </c>
      <c r="D6" s="4">
        <v>51.992831929079998</v>
      </c>
      <c r="E6" s="89" t="s">
        <v>65</v>
      </c>
      <c r="F6" s="84">
        <v>51.992831929090002</v>
      </c>
      <c r="G6" s="88"/>
      <c r="H6" s="87"/>
      <c r="I6" s="87"/>
      <c r="J6" s="123"/>
      <c r="K6" s="177">
        <v>0.653787117227</v>
      </c>
      <c r="L6" s="62">
        <v>22.133383035800001</v>
      </c>
      <c r="M6" s="129"/>
      <c r="N6" s="76"/>
      <c r="O6" s="144"/>
      <c r="P6" s="6">
        <v>51.992831929099999</v>
      </c>
      <c r="Q6" s="16">
        <f t="shared" si="0"/>
        <v>-2.000177801164682E-11</v>
      </c>
      <c r="R6" s="8">
        <v>0</v>
      </c>
      <c r="S6" s="13">
        <v>0</v>
      </c>
      <c r="T6" s="13">
        <v>49.047148604199997</v>
      </c>
      <c r="U6" s="13">
        <v>2.2803760668500002</v>
      </c>
      <c r="V6" s="56">
        <v>0.131857363773</v>
      </c>
      <c r="W6" s="29">
        <f t="shared" si="1"/>
        <v>0.53344989425699652</v>
      </c>
    </row>
    <row r="7" spans="1:23" x14ac:dyDescent="0.3">
      <c r="A7" s="1">
        <v>11538</v>
      </c>
      <c r="B7" s="1" t="s">
        <v>2</v>
      </c>
      <c r="C7" s="1" t="s">
        <v>3</v>
      </c>
      <c r="D7" s="4">
        <v>6.2959613157499996</v>
      </c>
      <c r="E7" s="89"/>
      <c r="F7" s="84"/>
      <c r="G7" s="88"/>
      <c r="H7" s="87"/>
      <c r="I7" s="87"/>
      <c r="J7" s="123"/>
      <c r="K7" s="177">
        <v>0</v>
      </c>
      <c r="L7" s="62">
        <v>0</v>
      </c>
      <c r="M7" s="129" t="s">
        <v>39</v>
      </c>
      <c r="N7" s="76">
        <v>6.3</v>
      </c>
      <c r="O7" s="194"/>
      <c r="P7" s="6">
        <v>0</v>
      </c>
      <c r="Q7" s="16">
        <f t="shared" si="0"/>
        <v>6.2959613157499996</v>
      </c>
      <c r="R7" s="8">
        <v>3.8882140835899999</v>
      </c>
      <c r="S7" s="13">
        <v>2.13376812526</v>
      </c>
      <c r="T7" s="13">
        <v>0.274228903129</v>
      </c>
      <c r="U7" s="13">
        <v>0</v>
      </c>
      <c r="V7" s="56">
        <v>0</v>
      </c>
      <c r="W7" s="29">
        <f t="shared" si="1"/>
        <v>3.8879642873609996</v>
      </c>
    </row>
    <row r="8" spans="1:23" x14ac:dyDescent="0.3">
      <c r="A8" s="1">
        <v>11539</v>
      </c>
      <c r="B8" s="1" t="s">
        <v>2</v>
      </c>
      <c r="C8" s="1" t="s">
        <v>3</v>
      </c>
      <c r="D8" s="4">
        <v>31.375669382680002</v>
      </c>
      <c r="E8" s="89" t="s">
        <v>65</v>
      </c>
      <c r="F8" s="84">
        <v>4.8545436870299996</v>
      </c>
      <c r="G8" s="88"/>
      <c r="H8" s="87"/>
      <c r="I8" s="87"/>
      <c r="J8" s="123"/>
      <c r="K8" s="177">
        <v>0</v>
      </c>
      <c r="L8" s="62">
        <v>0</v>
      </c>
      <c r="M8" s="129" t="s">
        <v>39</v>
      </c>
      <c r="N8" s="76">
        <v>26.5</v>
      </c>
      <c r="O8" s="194"/>
      <c r="P8" s="6">
        <v>4.8545444393999997</v>
      </c>
      <c r="Q8" s="16">
        <f>D8-P8</f>
        <v>26.52112494328</v>
      </c>
      <c r="R8" s="8">
        <v>0</v>
      </c>
      <c r="S8" s="13">
        <v>17.6916241429</v>
      </c>
      <c r="T8" s="13">
        <v>0</v>
      </c>
      <c r="U8" s="13">
        <v>13.6840452398</v>
      </c>
      <c r="V8" s="56">
        <v>0</v>
      </c>
      <c r="W8" s="29">
        <f t="shared" si="1"/>
        <v>-1.999822529796802E-11</v>
      </c>
    </row>
    <row r="9" spans="1:23" x14ac:dyDescent="0.3">
      <c r="A9" s="1">
        <v>11696</v>
      </c>
      <c r="B9" s="1" t="s">
        <v>2</v>
      </c>
      <c r="C9" s="1" t="s">
        <v>3</v>
      </c>
      <c r="D9" s="4">
        <v>17.589628872359999</v>
      </c>
      <c r="E9" s="89" t="s">
        <v>26</v>
      </c>
      <c r="F9" s="84">
        <v>17.589628872359999</v>
      </c>
      <c r="G9" s="88"/>
      <c r="H9" s="87"/>
      <c r="I9" s="87"/>
      <c r="J9" s="123"/>
      <c r="K9" s="177">
        <v>2.1712623598</v>
      </c>
      <c r="L9" s="62">
        <v>0</v>
      </c>
      <c r="M9" s="129"/>
      <c r="N9" s="76"/>
      <c r="O9" s="144"/>
      <c r="P9" s="6">
        <v>17.589628872399999</v>
      </c>
      <c r="Q9" s="16">
        <f t="shared" si="0"/>
        <v>-4.000000330961484E-11</v>
      </c>
      <c r="R9" s="8">
        <v>0</v>
      </c>
      <c r="S9" s="13">
        <v>0</v>
      </c>
      <c r="T9" s="13">
        <v>0</v>
      </c>
      <c r="U9" s="13">
        <v>0</v>
      </c>
      <c r="V9" s="56">
        <v>0</v>
      </c>
      <c r="W9" s="29">
        <f t="shared" si="1"/>
        <v>17.589628872359999</v>
      </c>
    </row>
    <row r="10" spans="1:23" x14ac:dyDescent="0.3">
      <c r="A10" s="1">
        <v>11893</v>
      </c>
      <c r="B10" s="1" t="s">
        <v>2</v>
      </c>
      <c r="C10" s="1" t="s">
        <v>6</v>
      </c>
      <c r="D10" s="4">
        <v>32.497278069369997</v>
      </c>
      <c r="E10" s="89" t="s">
        <v>307</v>
      </c>
      <c r="F10" s="84">
        <v>32.497278069369997</v>
      </c>
      <c r="G10" s="88"/>
      <c r="H10" s="87"/>
      <c r="I10" s="87"/>
      <c r="J10" s="123"/>
      <c r="K10" s="177">
        <v>0</v>
      </c>
      <c r="L10" s="62">
        <v>0</v>
      </c>
      <c r="M10" s="129"/>
      <c r="N10" s="76"/>
      <c r="O10" s="144"/>
      <c r="P10" s="6">
        <v>32.497278069399997</v>
      </c>
      <c r="Q10" s="16">
        <f t="shared" si="0"/>
        <v>-2.999911430379143E-11</v>
      </c>
      <c r="R10" s="8">
        <v>0</v>
      </c>
      <c r="S10" s="13">
        <v>26.331305774400001</v>
      </c>
      <c r="T10" s="13">
        <v>3.7373148030199999</v>
      </c>
      <c r="U10" s="13">
        <v>0</v>
      </c>
      <c r="V10" s="56">
        <v>0</v>
      </c>
      <c r="W10" s="29">
        <f t="shared" si="1"/>
        <v>2.4286574919499984</v>
      </c>
    </row>
    <row r="11" spans="1:23" x14ac:dyDescent="0.3">
      <c r="A11" s="1">
        <v>11894</v>
      </c>
      <c r="B11" s="1" t="s">
        <v>2</v>
      </c>
      <c r="C11" s="1" t="s">
        <v>6</v>
      </c>
      <c r="D11" s="4">
        <v>8.3025274741599997</v>
      </c>
      <c r="E11" s="89" t="s">
        <v>307</v>
      </c>
      <c r="F11" s="84">
        <v>8.3025274741599997</v>
      </c>
      <c r="G11" s="85"/>
      <c r="H11" s="86"/>
      <c r="I11" s="87"/>
      <c r="J11" s="123"/>
      <c r="K11" s="177">
        <v>0</v>
      </c>
      <c r="L11" s="62">
        <v>0</v>
      </c>
      <c r="M11" s="128"/>
      <c r="N11" s="75"/>
      <c r="O11" s="152"/>
      <c r="P11" s="6">
        <v>8.3025274741599997</v>
      </c>
      <c r="Q11" s="16">
        <f t="shared" si="0"/>
        <v>0</v>
      </c>
      <c r="R11" s="8">
        <v>1.78678218653</v>
      </c>
      <c r="S11" s="13">
        <v>0</v>
      </c>
      <c r="T11" s="13">
        <v>0</v>
      </c>
      <c r="U11" s="13">
        <v>0</v>
      </c>
      <c r="V11" s="56">
        <v>0</v>
      </c>
      <c r="W11" s="29">
        <f t="shared" si="1"/>
        <v>8.3025274741599997</v>
      </c>
    </row>
    <row r="12" spans="1:23" x14ac:dyDescent="0.3">
      <c r="A12" s="1">
        <v>11896</v>
      </c>
      <c r="B12" s="1" t="s">
        <v>2</v>
      </c>
      <c r="C12" s="1" t="s">
        <v>6</v>
      </c>
      <c r="D12" s="4">
        <v>96.782206705370001</v>
      </c>
      <c r="E12" s="85"/>
      <c r="F12" s="86"/>
      <c r="G12" s="85"/>
      <c r="H12" s="86"/>
      <c r="I12" s="84"/>
      <c r="J12" s="119"/>
      <c r="K12" s="177">
        <v>0</v>
      </c>
      <c r="L12" s="62">
        <v>0</v>
      </c>
      <c r="M12" s="129" t="s">
        <v>39</v>
      </c>
      <c r="N12" s="75">
        <v>96.8</v>
      </c>
      <c r="O12" s="152"/>
      <c r="P12" s="6">
        <v>0</v>
      </c>
      <c r="Q12" s="16">
        <f t="shared" si="0"/>
        <v>96.782206705370001</v>
      </c>
      <c r="R12" s="8">
        <v>0</v>
      </c>
      <c r="S12" s="13">
        <v>6.4448967864000002</v>
      </c>
      <c r="T12" s="13">
        <v>0</v>
      </c>
      <c r="U12" s="13">
        <v>74.669524779699998</v>
      </c>
      <c r="V12" s="56">
        <v>0</v>
      </c>
      <c r="W12" s="29">
        <f t="shared" si="1"/>
        <v>15.667785139270009</v>
      </c>
    </row>
    <row r="13" spans="1:23" x14ac:dyDescent="0.3">
      <c r="A13" s="1">
        <v>12062</v>
      </c>
      <c r="B13" s="1" t="s">
        <v>2</v>
      </c>
      <c r="C13" s="1" t="s">
        <v>5</v>
      </c>
      <c r="D13" s="4">
        <v>12.513422533589999</v>
      </c>
      <c r="E13" s="85"/>
      <c r="F13" s="86"/>
      <c r="G13" s="88"/>
      <c r="H13" s="87"/>
      <c r="I13" s="87"/>
      <c r="J13" s="123"/>
      <c r="K13" s="177">
        <v>0</v>
      </c>
      <c r="L13" s="62">
        <v>0</v>
      </c>
      <c r="M13" s="128"/>
      <c r="N13" s="75"/>
      <c r="O13" s="141">
        <v>12.5134225336</v>
      </c>
      <c r="P13" s="6">
        <v>0</v>
      </c>
      <c r="Q13" s="16">
        <f t="shared" si="0"/>
        <v>12.513422533589999</v>
      </c>
      <c r="R13" s="8">
        <v>0</v>
      </c>
      <c r="S13" s="13">
        <v>6.6004440391300001</v>
      </c>
      <c r="T13" s="13">
        <v>0</v>
      </c>
      <c r="U13" s="13">
        <v>5.8574744726699999</v>
      </c>
      <c r="V13" s="56">
        <v>0</v>
      </c>
      <c r="W13" s="29">
        <f t="shared" si="1"/>
        <v>5.5504021790000024E-2</v>
      </c>
    </row>
    <row r="14" spans="1:23" x14ac:dyDescent="0.3">
      <c r="A14" s="1">
        <v>12190</v>
      </c>
      <c r="B14" s="1" t="s">
        <v>2</v>
      </c>
      <c r="C14" s="1" t="s">
        <v>4</v>
      </c>
      <c r="D14" s="4">
        <v>36.32345216593</v>
      </c>
      <c r="E14" s="89" t="s">
        <v>58</v>
      </c>
      <c r="F14" s="84">
        <v>5.9922515002400001</v>
      </c>
      <c r="G14" s="89" t="s">
        <v>28</v>
      </c>
      <c r="H14" s="84">
        <v>30.33120129293</v>
      </c>
      <c r="I14" s="87"/>
      <c r="J14" s="123"/>
      <c r="K14" s="177">
        <v>18.4570014916</v>
      </c>
      <c r="L14" s="62">
        <v>0</v>
      </c>
      <c r="M14" s="128"/>
      <c r="N14" s="75"/>
      <c r="O14" s="152"/>
      <c r="P14" s="6">
        <v>36.323452165900001</v>
      </c>
      <c r="Q14" s="16">
        <f t="shared" si="0"/>
        <v>2.999911430379143E-11</v>
      </c>
      <c r="R14" s="8">
        <v>0</v>
      </c>
      <c r="S14" s="13">
        <v>0</v>
      </c>
      <c r="T14" s="13">
        <v>14.95460138</v>
      </c>
      <c r="U14" s="13">
        <v>5.68388430177</v>
      </c>
      <c r="V14" s="56">
        <v>0</v>
      </c>
      <c r="W14" s="29">
        <f t="shared" si="1"/>
        <v>15.68496648416</v>
      </c>
    </row>
    <row r="15" spans="1:23" x14ac:dyDescent="0.3">
      <c r="A15" s="1">
        <v>12191</v>
      </c>
      <c r="B15" s="1" t="s">
        <v>2</v>
      </c>
      <c r="C15" s="1" t="s">
        <v>4</v>
      </c>
      <c r="D15" s="4">
        <v>26.153064904899999</v>
      </c>
      <c r="E15" s="89" t="s">
        <v>58</v>
      </c>
      <c r="F15" s="84">
        <v>26.153064904899999</v>
      </c>
      <c r="G15" s="85"/>
      <c r="H15" s="86"/>
      <c r="I15" s="87"/>
      <c r="J15" s="123"/>
      <c r="K15" s="177">
        <v>17.641962726900001</v>
      </c>
      <c r="L15" s="62">
        <v>0</v>
      </c>
      <c r="M15" s="128"/>
      <c r="N15" s="75"/>
      <c r="O15" s="152"/>
      <c r="P15" s="6">
        <v>26.153064904899999</v>
      </c>
      <c r="Q15" s="16">
        <f t="shared" si="0"/>
        <v>0</v>
      </c>
      <c r="R15" s="8">
        <v>0</v>
      </c>
      <c r="S15" s="13">
        <v>0</v>
      </c>
      <c r="T15" s="13">
        <v>8.4860495707200005</v>
      </c>
      <c r="U15" s="13">
        <v>7.7670590535199997</v>
      </c>
      <c r="V15" s="56">
        <v>0</v>
      </c>
      <c r="W15" s="29">
        <f t="shared" si="1"/>
        <v>9.8999562806599997</v>
      </c>
    </row>
    <row r="16" spans="1:23" x14ac:dyDescent="0.3">
      <c r="A16" s="1">
        <v>12192</v>
      </c>
      <c r="B16" s="1" t="s">
        <v>2</v>
      </c>
      <c r="C16" s="1" t="s">
        <v>4</v>
      </c>
      <c r="D16" s="4">
        <v>9.5513258606299996</v>
      </c>
      <c r="E16" s="89" t="s">
        <v>11</v>
      </c>
      <c r="F16" s="84">
        <v>9.5513258606400004</v>
      </c>
      <c r="G16" s="88"/>
      <c r="H16" s="87"/>
      <c r="I16" s="87"/>
      <c r="J16" s="123"/>
      <c r="K16" s="177">
        <v>0</v>
      </c>
      <c r="L16" s="62">
        <v>9.5513258606400004</v>
      </c>
      <c r="M16" s="128"/>
      <c r="N16" s="75"/>
      <c r="O16" s="152"/>
      <c r="P16" s="6">
        <v>9.5513258606400004</v>
      </c>
      <c r="Q16" s="16">
        <f t="shared" si="0"/>
        <v>-1.000088900582341E-11</v>
      </c>
      <c r="R16" s="8">
        <v>0</v>
      </c>
      <c r="S16" s="13">
        <v>0</v>
      </c>
      <c r="T16" s="13">
        <v>8.4037900097999998</v>
      </c>
      <c r="U16" s="13">
        <v>0</v>
      </c>
      <c r="V16" s="56">
        <v>0</v>
      </c>
      <c r="W16" s="29">
        <f t="shared" si="1"/>
        <v>1.1475358508299998</v>
      </c>
    </row>
    <row r="17" spans="1:23" x14ac:dyDescent="0.3">
      <c r="A17" s="1">
        <v>12193</v>
      </c>
      <c r="B17" s="1" t="s">
        <v>2</v>
      </c>
      <c r="C17" s="1" t="s">
        <v>4</v>
      </c>
      <c r="D17" s="4">
        <v>43.529431106559997</v>
      </c>
      <c r="E17" s="89" t="s">
        <v>58</v>
      </c>
      <c r="F17" s="84">
        <v>35.316311686890003</v>
      </c>
      <c r="G17" s="85"/>
      <c r="H17" s="86"/>
      <c r="I17" s="87"/>
      <c r="J17" s="123"/>
      <c r="K17" s="177">
        <v>0</v>
      </c>
      <c r="L17" s="62">
        <v>9.4745197246699995</v>
      </c>
      <c r="M17" s="128"/>
      <c r="N17" s="75"/>
      <c r="O17" s="141">
        <v>8.2131194196500008</v>
      </c>
      <c r="P17" s="6">
        <v>35.316311686900001</v>
      </c>
      <c r="Q17" s="16">
        <f>D17-P17</f>
        <v>8.2131194196599964</v>
      </c>
      <c r="R17" s="8">
        <v>0</v>
      </c>
      <c r="S17" s="13">
        <v>0</v>
      </c>
      <c r="T17" s="13">
        <v>42.863529689099998</v>
      </c>
      <c r="U17" s="13">
        <v>0.66590141748300002</v>
      </c>
      <c r="V17" s="56">
        <v>0</v>
      </c>
      <c r="W17" s="29">
        <f t="shared" si="1"/>
        <v>-2.3000268356554443E-11</v>
      </c>
    </row>
    <row r="18" spans="1:23" x14ac:dyDescent="0.3">
      <c r="A18" s="1">
        <v>12194</v>
      </c>
      <c r="B18" s="1" t="s">
        <v>2</v>
      </c>
      <c r="C18" s="1" t="s">
        <v>4</v>
      </c>
      <c r="D18" s="4">
        <v>10.21220786462</v>
      </c>
      <c r="E18" s="89" t="s">
        <v>36</v>
      </c>
      <c r="F18" s="84">
        <v>0.83464293295000003</v>
      </c>
      <c r="G18" s="89" t="s">
        <v>35</v>
      </c>
      <c r="H18" s="84">
        <v>9.3775265256400004</v>
      </c>
      <c r="I18" s="89"/>
      <c r="J18" s="119"/>
      <c r="K18" s="177">
        <v>0</v>
      </c>
      <c r="L18" s="62">
        <v>0</v>
      </c>
      <c r="M18" s="128"/>
      <c r="N18" s="75"/>
      <c r="O18" s="141">
        <v>0.8</v>
      </c>
      <c r="P18" s="6">
        <v>8.8831777498900006</v>
      </c>
      <c r="Q18" s="16">
        <f t="shared" si="0"/>
        <v>1.3290301147299992</v>
      </c>
      <c r="R18" s="8">
        <v>0</v>
      </c>
      <c r="S18" s="13">
        <v>0</v>
      </c>
      <c r="T18" s="13">
        <v>0</v>
      </c>
      <c r="U18" s="13">
        <v>0</v>
      </c>
      <c r="V18" s="56">
        <v>0</v>
      </c>
      <c r="W18" s="29">
        <f t="shared" si="1"/>
        <v>10.21220786462</v>
      </c>
    </row>
    <row r="19" spans="1:23" x14ac:dyDescent="0.3">
      <c r="A19" s="1">
        <v>12195</v>
      </c>
      <c r="B19" s="1" t="s">
        <v>2</v>
      </c>
      <c r="C19" s="1" t="s">
        <v>4</v>
      </c>
      <c r="D19" s="4">
        <v>8.4442514291999995</v>
      </c>
      <c r="E19" s="89" t="s">
        <v>65</v>
      </c>
      <c r="F19" s="84">
        <v>0.56297247557999996</v>
      </c>
      <c r="G19" s="89" t="s">
        <v>35</v>
      </c>
      <c r="H19" s="84">
        <v>7.8812788185000002</v>
      </c>
      <c r="I19" s="84"/>
      <c r="J19" s="119"/>
      <c r="K19" s="177">
        <v>0</v>
      </c>
      <c r="L19" s="62">
        <v>0</v>
      </c>
      <c r="M19" s="128"/>
      <c r="N19" s="75"/>
      <c r="O19" s="194"/>
      <c r="P19" s="6">
        <v>8.4442514292100004</v>
      </c>
      <c r="Q19" s="16">
        <f t="shared" si="0"/>
        <v>-1.000088900582341E-11</v>
      </c>
      <c r="R19" s="8">
        <v>0</v>
      </c>
      <c r="S19" s="13">
        <v>0</v>
      </c>
      <c r="T19" s="13">
        <v>0</v>
      </c>
      <c r="U19" s="13">
        <v>0.56161267233099998</v>
      </c>
      <c r="V19" s="56">
        <v>0</v>
      </c>
      <c r="W19" s="29">
        <f t="shared" si="1"/>
        <v>7.8826387568689995</v>
      </c>
    </row>
    <row r="20" spans="1:23" x14ac:dyDescent="0.3">
      <c r="A20" s="1">
        <v>12196</v>
      </c>
      <c r="B20" s="1" t="s">
        <v>2</v>
      </c>
      <c r="C20" s="1" t="s">
        <v>4</v>
      </c>
      <c r="D20" s="4">
        <v>69.381930080779995</v>
      </c>
      <c r="E20" s="89" t="s">
        <v>65</v>
      </c>
      <c r="F20" s="84">
        <v>16.92906640224</v>
      </c>
      <c r="G20" s="89" t="s">
        <v>58</v>
      </c>
      <c r="H20" s="84">
        <v>52.452863678550003</v>
      </c>
      <c r="I20" s="87"/>
      <c r="J20" s="123"/>
      <c r="K20" s="177">
        <v>0</v>
      </c>
      <c r="L20" s="62">
        <v>0</v>
      </c>
      <c r="M20" s="128"/>
      <c r="N20" s="75"/>
      <c r="O20" s="152"/>
      <c r="P20" s="6">
        <v>69.381930080800004</v>
      </c>
      <c r="Q20" s="16">
        <f t="shared" si="0"/>
        <v>-2.0008883439004421E-11</v>
      </c>
      <c r="R20" s="8">
        <v>0</v>
      </c>
      <c r="S20" s="13">
        <v>69.381930080800004</v>
      </c>
      <c r="T20" s="13">
        <v>0</v>
      </c>
      <c r="U20" s="13">
        <v>0</v>
      </c>
      <c r="V20" s="56">
        <v>0</v>
      </c>
      <c r="W20" s="29">
        <f t="shared" si="1"/>
        <v>-2.0008883439004421E-11</v>
      </c>
    </row>
    <row r="21" spans="1:23" x14ac:dyDescent="0.3">
      <c r="A21" s="1">
        <v>12197</v>
      </c>
      <c r="B21" s="1" t="s">
        <v>2</v>
      </c>
      <c r="C21" s="1" t="s">
        <v>4</v>
      </c>
      <c r="D21" s="4">
        <v>33.665927111419997</v>
      </c>
      <c r="E21" s="89" t="s">
        <v>58</v>
      </c>
      <c r="F21" s="84">
        <v>28.872865868809999</v>
      </c>
      <c r="G21" s="89" t="s">
        <v>59</v>
      </c>
      <c r="H21" s="84">
        <v>4.7930612426200003</v>
      </c>
      <c r="I21" s="84"/>
      <c r="J21" s="119"/>
      <c r="K21" s="177">
        <v>7.2367213942599999</v>
      </c>
      <c r="L21" s="62">
        <v>0</v>
      </c>
      <c r="M21" s="128"/>
      <c r="N21" s="75"/>
      <c r="O21" s="152"/>
      <c r="P21" s="6">
        <v>33.665927111400002</v>
      </c>
      <c r="Q21" s="16">
        <f t="shared" si="0"/>
        <v>1.9994672584289219E-11</v>
      </c>
      <c r="R21" s="8">
        <v>0</v>
      </c>
      <c r="S21" s="13">
        <v>8.7599007853300002</v>
      </c>
      <c r="T21" s="13">
        <v>8.3987651230499996</v>
      </c>
      <c r="U21" s="13">
        <v>0</v>
      </c>
      <c r="V21" s="56">
        <v>2.6386251085999999</v>
      </c>
      <c r="W21" s="29">
        <f t="shared" si="1"/>
        <v>13.868636094439996</v>
      </c>
    </row>
    <row r="22" spans="1:23" x14ac:dyDescent="0.3">
      <c r="A22" s="1">
        <v>12198</v>
      </c>
      <c r="B22" s="1" t="s">
        <v>2</v>
      </c>
      <c r="C22" s="1" t="s">
        <v>4</v>
      </c>
      <c r="D22" s="4">
        <v>19.128589560119998</v>
      </c>
      <c r="E22" s="89" t="s">
        <v>60</v>
      </c>
      <c r="F22" s="84">
        <v>19.128589560129999</v>
      </c>
      <c r="G22" s="89"/>
      <c r="H22" s="84"/>
      <c r="I22" s="87"/>
      <c r="J22" s="123"/>
      <c r="K22" s="177">
        <v>0</v>
      </c>
      <c r="L22" s="62">
        <v>0</v>
      </c>
      <c r="M22" s="128"/>
      <c r="N22" s="75"/>
      <c r="O22" s="152"/>
      <c r="P22" s="6">
        <v>19.1285895601</v>
      </c>
      <c r="Q22" s="16">
        <f t="shared" si="0"/>
        <v>1.999822529796802E-11</v>
      </c>
      <c r="R22" s="8">
        <v>0</v>
      </c>
      <c r="S22" s="13">
        <v>18.616384481800001</v>
      </c>
      <c r="T22" s="13">
        <v>0.51220507835999995</v>
      </c>
      <c r="U22" s="13">
        <v>0</v>
      </c>
      <c r="V22" s="56">
        <v>0</v>
      </c>
      <c r="W22" s="29">
        <f t="shared" si="1"/>
        <v>-4.000355602329364E-11</v>
      </c>
    </row>
    <row r="23" spans="1:23" x14ac:dyDescent="0.3">
      <c r="A23" s="1">
        <v>12199</v>
      </c>
      <c r="B23" s="1" t="s">
        <v>2</v>
      </c>
      <c r="C23" s="1" t="s">
        <v>4</v>
      </c>
      <c r="D23" s="4">
        <v>31.191523666510001</v>
      </c>
      <c r="E23" s="89" t="s">
        <v>58</v>
      </c>
      <c r="F23" s="84">
        <v>0.67752340649999998</v>
      </c>
      <c r="G23" s="88"/>
      <c r="H23" s="87"/>
      <c r="I23" s="87"/>
      <c r="J23" s="123"/>
      <c r="K23" s="177">
        <v>0</v>
      </c>
      <c r="L23" s="62">
        <v>0</v>
      </c>
      <c r="M23" s="128" t="s">
        <v>31</v>
      </c>
      <c r="N23" s="75">
        <v>30.5</v>
      </c>
      <c r="O23" s="141"/>
      <c r="P23" s="6">
        <v>0.676157109604</v>
      </c>
      <c r="Q23" s="16">
        <f t="shared" si="0"/>
        <v>30.515366556906002</v>
      </c>
      <c r="R23" s="8">
        <v>0</v>
      </c>
      <c r="S23" s="13">
        <v>0.53335963731299996</v>
      </c>
      <c r="T23" s="13">
        <v>0</v>
      </c>
      <c r="U23" s="13">
        <v>17.580203380299999</v>
      </c>
      <c r="V23" s="56">
        <v>0</v>
      </c>
      <c r="W23" s="29">
        <f t="shared" si="1"/>
        <v>13.077960648897001</v>
      </c>
    </row>
    <row r="24" spans="1:23" x14ac:dyDescent="0.3">
      <c r="A24" s="1">
        <v>12201</v>
      </c>
      <c r="B24" s="1" t="s">
        <v>2</v>
      </c>
      <c r="C24" s="1" t="s">
        <v>4</v>
      </c>
      <c r="D24" s="4">
        <v>40.918695641489997</v>
      </c>
      <c r="E24" s="89" t="s">
        <v>26</v>
      </c>
      <c r="F24" s="84">
        <v>33.81603615009</v>
      </c>
      <c r="G24" s="89" t="s">
        <v>307</v>
      </c>
      <c r="H24" s="84">
        <v>7.1026594914099999</v>
      </c>
      <c r="I24" s="87"/>
      <c r="J24" s="123"/>
      <c r="K24" s="177">
        <v>19.6678676483</v>
      </c>
      <c r="L24" s="62">
        <v>4.9000000000000004</v>
      </c>
      <c r="M24" s="128"/>
      <c r="N24" s="75"/>
      <c r="O24" s="152"/>
      <c r="P24" s="6">
        <v>40.918695641500001</v>
      </c>
      <c r="Q24" s="16">
        <f t="shared" si="0"/>
        <v>-1.0004441719502211E-11</v>
      </c>
      <c r="R24" s="8">
        <v>0</v>
      </c>
      <c r="S24" s="13">
        <v>9.9270070366700001</v>
      </c>
      <c r="T24" s="13">
        <v>3.4822934733699999</v>
      </c>
      <c r="U24" s="13">
        <v>13.481298148500001</v>
      </c>
      <c r="V24" s="56">
        <v>4.4594826230400004</v>
      </c>
      <c r="W24" s="29">
        <f t="shared" si="1"/>
        <v>9.5686143599099971</v>
      </c>
    </row>
    <row r="25" spans="1:23" x14ac:dyDescent="0.3">
      <c r="A25" s="1">
        <v>12204</v>
      </c>
      <c r="B25" s="1" t="s">
        <v>2</v>
      </c>
      <c r="C25" s="1" t="s">
        <v>4</v>
      </c>
      <c r="D25" s="4">
        <v>26.845237367479999</v>
      </c>
      <c r="E25" s="85"/>
      <c r="F25" s="86"/>
      <c r="G25" s="88"/>
      <c r="H25" s="87"/>
      <c r="I25" s="87"/>
      <c r="J25" s="123"/>
      <c r="K25" s="177">
        <v>0</v>
      </c>
      <c r="L25" s="62">
        <v>0</v>
      </c>
      <c r="M25" s="128" t="s">
        <v>78</v>
      </c>
      <c r="N25" s="75">
        <v>26.8</v>
      </c>
      <c r="O25" s="152"/>
      <c r="P25" s="6">
        <v>0</v>
      </c>
      <c r="Q25" s="16">
        <f t="shared" si="0"/>
        <v>26.845237367479999</v>
      </c>
      <c r="R25" s="8">
        <v>0</v>
      </c>
      <c r="S25" s="13">
        <v>22.982001150599999</v>
      </c>
      <c r="T25" s="13">
        <v>3.3865797549300001</v>
      </c>
      <c r="U25" s="13">
        <v>0</v>
      </c>
      <c r="V25" s="56">
        <v>0</v>
      </c>
      <c r="W25" s="29">
        <f t="shared" si="1"/>
        <v>0.47665646195000022</v>
      </c>
    </row>
    <row r="26" spans="1:23" x14ac:dyDescent="0.3">
      <c r="A26" s="1">
        <v>12208</v>
      </c>
      <c r="B26" s="1" t="s">
        <v>2</v>
      </c>
      <c r="C26" s="1" t="s">
        <v>4</v>
      </c>
      <c r="D26" s="4">
        <v>21.47207905366</v>
      </c>
      <c r="E26" s="89" t="s">
        <v>65</v>
      </c>
      <c r="F26" s="84">
        <v>21.47207905366</v>
      </c>
      <c r="G26" s="88"/>
      <c r="H26" s="87"/>
      <c r="I26" s="87"/>
      <c r="J26" s="123"/>
      <c r="K26" s="177">
        <v>7.8500429410699999</v>
      </c>
      <c r="L26" s="62">
        <v>0</v>
      </c>
      <c r="M26" s="128"/>
      <c r="N26" s="75"/>
      <c r="O26" s="152"/>
      <c r="P26" s="6">
        <v>20.4617111845</v>
      </c>
      <c r="Q26" s="16">
        <f t="shared" si="0"/>
        <v>1.0103678691599995</v>
      </c>
      <c r="R26" s="8">
        <v>0</v>
      </c>
      <c r="S26" s="13">
        <v>7.0456875878799998</v>
      </c>
      <c r="T26" s="13">
        <v>6.0465477988699998</v>
      </c>
      <c r="U26" s="13">
        <v>0.36806136374699999</v>
      </c>
      <c r="V26" s="56">
        <v>8.0117823031699995</v>
      </c>
      <c r="W26" s="29">
        <f t="shared" si="1"/>
        <v>-6.9988459472369868E-12</v>
      </c>
    </row>
    <row r="27" spans="1:23" x14ac:dyDescent="0.3">
      <c r="A27" s="1">
        <v>12210</v>
      </c>
      <c r="B27" s="1" t="s">
        <v>2</v>
      </c>
      <c r="C27" s="1" t="s">
        <v>4</v>
      </c>
      <c r="D27" s="4">
        <v>16.097662537430001</v>
      </c>
      <c r="E27" s="85"/>
      <c r="F27" s="86"/>
      <c r="G27" s="88"/>
      <c r="H27" s="87"/>
      <c r="I27" s="87"/>
      <c r="J27" s="123"/>
      <c r="K27" s="177">
        <v>0</v>
      </c>
      <c r="L27" s="62">
        <v>0</v>
      </c>
      <c r="M27" s="129" t="s">
        <v>39</v>
      </c>
      <c r="N27" s="75">
        <v>16.100000000000001</v>
      </c>
      <c r="O27" s="152"/>
      <c r="P27" s="6">
        <v>0</v>
      </c>
      <c r="Q27" s="16">
        <f t="shared" si="0"/>
        <v>16.097662537430001</v>
      </c>
      <c r="R27" s="8">
        <v>16.097662537400002</v>
      </c>
      <c r="S27" s="13">
        <v>0</v>
      </c>
      <c r="T27" s="13">
        <v>0</v>
      </c>
      <c r="U27" s="13">
        <v>0</v>
      </c>
      <c r="V27" s="56">
        <v>0</v>
      </c>
      <c r="W27" s="29">
        <f t="shared" si="1"/>
        <v>16.097662537430001</v>
      </c>
    </row>
    <row r="28" spans="1:23" x14ac:dyDescent="0.3">
      <c r="A28" s="1">
        <v>12211</v>
      </c>
      <c r="B28" s="1" t="s">
        <v>2</v>
      </c>
      <c r="C28" s="1" t="s">
        <v>4</v>
      </c>
      <c r="D28" s="4">
        <v>49.505503280390002</v>
      </c>
      <c r="E28" s="89" t="s">
        <v>65</v>
      </c>
      <c r="F28" s="84">
        <v>49.505503280390002</v>
      </c>
      <c r="G28" s="88"/>
      <c r="H28" s="87"/>
      <c r="I28" s="87"/>
      <c r="J28" s="123"/>
      <c r="K28" s="177">
        <v>0</v>
      </c>
      <c r="L28" s="62">
        <v>0</v>
      </c>
      <c r="M28" s="128"/>
      <c r="N28" s="75"/>
      <c r="O28" s="152"/>
      <c r="P28" s="6">
        <v>49.505503280399999</v>
      </c>
      <c r="Q28" s="16">
        <f t="shared" si="0"/>
        <v>-9.9973362921446096E-12</v>
      </c>
      <c r="R28" s="8">
        <v>0</v>
      </c>
      <c r="S28" s="13">
        <v>44.664976273999997</v>
      </c>
      <c r="T28" s="13">
        <v>4.8405270063500003</v>
      </c>
      <c r="U28" s="13">
        <v>0</v>
      </c>
      <c r="V28" s="56">
        <v>0</v>
      </c>
      <c r="W28" s="29">
        <f t="shared" si="1"/>
        <v>4.000355602329364E-11</v>
      </c>
    </row>
    <row r="29" spans="1:23" x14ac:dyDescent="0.3">
      <c r="A29" s="1">
        <v>12213</v>
      </c>
      <c r="B29" s="1" t="s">
        <v>2</v>
      </c>
      <c r="C29" s="1" t="s">
        <v>4</v>
      </c>
      <c r="D29" s="4">
        <v>27.273248570780002</v>
      </c>
      <c r="E29" s="89" t="s">
        <v>65</v>
      </c>
      <c r="F29" s="84">
        <v>27.273248570780002</v>
      </c>
      <c r="G29" s="85"/>
      <c r="H29" s="86"/>
      <c r="I29" s="87"/>
      <c r="J29" s="123"/>
      <c r="K29" s="177">
        <v>0</v>
      </c>
      <c r="L29" s="62">
        <v>0</v>
      </c>
      <c r="M29" s="128"/>
      <c r="N29" s="75"/>
      <c r="O29" s="152"/>
      <c r="P29" s="6">
        <v>27.2732485708</v>
      </c>
      <c r="Q29" s="16">
        <f t="shared" si="0"/>
        <v>-1.999822529796802E-11</v>
      </c>
      <c r="R29" s="8">
        <v>0</v>
      </c>
      <c r="S29" s="13">
        <v>2.0564093590499999</v>
      </c>
      <c r="T29" s="13">
        <v>25.166804642999999</v>
      </c>
      <c r="U29" s="13">
        <v>5.0034568714599999E-2</v>
      </c>
      <c r="V29" s="56">
        <v>0</v>
      </c>
      <c r="W29" s="29">
        <f t="shared" si="1"/>
        <v>1.5401013797600172E-11</v>
      </c>
    </row>
    <row r="30" spans="1:23" x14ac:dyDescent="0.3">
      <c r="A30" s="1">
        <v>12214</v>
      </c>
      <c r="B30" s="1" t="s">
        <v>2</v>
      </c>
      <c r="C30" s="1" t="s">
        <v>4</v>
      </c>
      <c r="D30" s="4">
        <v>19.629416119790001</v>
      </c>
      <c r="E30" s="89" t="s">
        <v>65</v>
      </c>
      <c r="F30" s="84">
        <v>19.629416119790001</v>
      </c>
      <c r="I30" s="87"/>
      <c r="J30" s="123"/>
      <c r="K30" s="177">
        <v>0</v>
      </c>
      <c r="L30" s="62">
        <v>0</v>
      </c>
      <c r="M30" s="128"/>
      <c r="N30" s="75"/>
      <c r="O30" s="152"/>
      <c r="P30" s="6">
        <v>19.629416119799998</v>
      </c>
      <c r="Q30" s="16">
        <f t="shared" si="0"/>
        <v>-9.9973362921446096E-12</v>
      </c>
      <c r="R30" s="8">
        <v>0</v>
      </c>
      <c r="S30" s="13">
        <v>0</v>
      </c>
      <c r="T30" s="13">
        <v>0.26611826445699999</v>
      </c>
      <c r="U30" s="13">
        <v>4.7966615141600002</v>
      </c>
      <c r="V30" s="56">
        <v>0</v>
      </c>
      <c r="W30" s="29">
        <f t="shared" si="1"/>
        <v>14.566636341173002</v>
      </c>
    </row>
    <row r="31" spans="1:23" x14ac:dyDescent="0.3">
      <c r="A31" s="1">
        <v>12216</v>
      </c>
      <c r="B31" s="1" t="s">
        <v>2</v>
      </c>
      <c r="C31" s="1" t="s">
        <v>4</v>
      </c>
      <c r="D31" s="4">
        <v>17.865637121279999</v>
      </c>
      <c r="E31" s="85"/>
      <c r="F31" s="86"/>
      <c r="G31" s="85"/>
      <c r="H31" s="86"/>
      <c r="I31" s="87"/>
      <c r="J31" s="123"/>
      <c r="K31" s="177">
        <v>0</v>
      </c>
      <c r="L31" s="62">
        <v>0</v>
      </c>
      <c r="M31" s="129" t="s">
        <v>39</v>
      </c>
      <c r="N31" s="75">
        <v>17.899999999999999</v>
      </c>
      <c r="O31" s="152"/>
      <c r="P31" s="6">
        <v>0</v>
      </c>
      <c r="Q31" s="16">
        <f t="shared" si="0"/>
        <v>17.865637121279999</v>
      </c>
      <c r="R31" s="8">
        <v>0</v>
      </c>
      <c r="S31" s="13">
        <v>10.701722334799999</v>
      </c>
      <c r="T31" s="13">
        <v>0</v>
      </c>
      <c r="U31" s="13">
        <v>7.0307935023499999</v>
      </c>
      <c r="V31" s="56">
        <v>0</v>
      </c>
      <c r="W31" s="29">
        <f t="shared" si="1"/>
        <v>0.13312128412999868</v>
      </c>
    </row>
    <row r="32" spans="1:23" x14ac:dyDescent="0.3">
      <c r="A32" s="1">
        <v>12218</v>
      </c>
      <c r="B32" s="1" t="s">
        <v>2</v>
      </c>
      <c r="C32" s="1" t="s">
        <v>4</v>
      </c>
      <c r="D32" s="4">
        <v>32.467934657960001</v>
      </c>
      <c r="E32" s="85"/>
      <c r="F32" s="86"/>
      <c r="G32" s="88"/>
      <c r="H32" s="87"/>
      <c r="I32" s="87"/>
      <c r="J32" s="123"/>
      <c r="K32" s="177">
        <v>0</v>
      </c>
      <c r="L32" s="62">
        <v>0</v>
      </c>
      <c r="M32" s="129" t="s">
        <v>39</v>
      </c>
      <c r="N32" s="75">
        <v>32.5</v>
      </c>
      <c r="O32" s="152"/>
      <c r="P32" s="6">
        <v>0</v>
      </c>
      <c r="Q32" s="16">
        <f t="shared" si="0"/>
        <v>32.467934657960001</v>
      </c>
      <c r="R32" s="8">
        <v>0</v>
      </c>
      <c r="S32" s="13">
        <v>24.132827115200001</v>
      </c>
      <c r="T32" s="13">
        <v>3.6807272592500002</v>
      </c>
      <c r="U32" s="13">
        <v>0</v>
      </c>
      <c r="V32" s="56">
        <v>0</v>
      </c>
      <c r="W32" s="29">
        <f t="shared" si="1"/>
        <v>4.654380283510001</v>
      </c>
    </row>
    <row r="33" spans="1:24" x14ac:dyDescent="0.3">
      <c r="A33" s="1">
        <v>12219</v>
      </c>
      <c r="B33" s="1" t="s">
        <v>2</v>
      </c>
      <c r="C33" s="1" t="s">
        <v>4</v>
      </c>
      <c r="D33" s="4">
        <v>71.767884329829997</v>
      </c>
      <c r="E33" s="85"/>
      <c r="F33" s="86"/>
      <c r="G33" s="88"/>
      <c r="H33" s="87"/>
      <c r="I33" s="87"/>
      <c r="J33" s="123"/>
      <c r="K33" s="177">
        <v>0</v>
      </c>
      <c r="L33" s="62">
        <v>0</v>
      </c>
      <c r="M33" s="129" t="s">
        <v>39</v>
      </c>
      <c r="N33" s="75">
        <v>71.8</v>
      </c>
      <c r="O33" s="152"/>
      <c r="P33" s="6">
        <v>0</v>
      </c>
      <c r="Q33" s="16">
        <f t="shared" si="0"/>
        <v>71.767884329829997</v>
      </c>
      <c r="R33" s="8">
        <v>1.3035463798099999E-3</v>
      </c>
      <c r="S33" s="13">
        <v>9.2925783337999999</v>
      </c>
      <c r="T33" s="13">
        <v>62.474011628200003</v>
      </c>
      <c r="U33" s="13">
        <v>0</v>
      </c>
      <c r="V33" s="56">
        <v>0</v>
      </c>
      <c r="W33" s="29">
        <f t="shared" si="1"/>
        <v>1.2943678299990324E-3</v>
      </c>
    </row>
    <row r="34" spans="1:24" x14ac:dyDescent="0.3">
      <c r="A34" s="1">
        <v>12220</v>
      </c>
      <c r="B34" s="1" t="s">
        <v>2</v>
      </c>
      <c r="C34" s="1" t="s">
        <v>4</v>
      </c>
      <c r="D34" s="4">
        <v>32.551360467770003</v>
      </c>
      <c r="E34" s="85"/>
      <c r="F34" s="86"/>
      <c r="G34" s="88"/>
      <c r="H34" s="87"/>
      <c r="I34" s="87"/>
      <c r="J34" s="123"/>
      <c r="K34" s="177">
        <v>0</v>
      </c>
      <c r="L34" s="62">
        <v>0</v>
      </c>
      <c r="M34" s="129" t="s">
        <v>39</v>
      </c>
      <c r="N34" s="75">
        <v>32.6</v>
      </c>
      <c r="O34" s="152"/>
      <c r="P34" s="6">
        <v>0</v>
      </c>
      <c r="Q34" s="16">
        <f t="shared" si="0"/>
        <v>32.551360467770003</v>
      </c>
      <c r="R34" s="8">
        <v>0</v>
      </c>
      <c r="S34" s="13">
        <v>25.221565634099999</v>
      </c>
      <c r="T34" s="13">
        <v>0</v>
      </c>
      <c r="U34" s="13">
        <v>0</v>
      </c>
      <c r="V34" s="56">
        <v>0</v>
      </c>
      <c r="W34" s="29">
        <f t="shared" si="1"/>
        <v>7.3297948336700038</v>
      </c>
    </row>
    <row r="35" spans="1:24" x14ac:dyDescent="0.3">
      <c r="A35" s="1">
        <v>12221</v>
      </c>
      <c r="B35" s="1" t="s">
        <v>2</v>
      </c>
      <c r="C35" s="1" t="s">
        <v>4</v>
      </c>
      <c r="D35" s="4">
        <v>99.723634239790002</v>
      </c>
      <c r="E35" s="85"/>
      <c r="F35" s="86"/>
      <c r="G35" s="88"/>
      <c r="H35" s="87"/>
      <c r="I35" s="87"/>
      <c r="J35" s="123"/>
      <c r="K35" s="177">
        <v>0</v>
      </c>
      <c r="L35" s="62">
        <v>0</v>
      </c>
      <c r="M35" s="129" t="s">
        <v>39</v>
      </c>
      <c r="N35" s="76">
        <v>99.7</v>
      </c>
      <c r="O35" s="194"/>
      <c r="P35" s="6">
        <v>0</v>
      </c>
      <c r="Q35" s="16">
        <f t="shared" si="0"/>
        <v>99.723634239790002</v>
      </c>
      <c r="R35" s="8">
        <v>31.475135489199999</v>
      </c>
      <c r="S35" s="13">
        <v>11.0263143262</v>
      </c>
      <c r="T35" s="13">
        <v>14.7175321641</v>
      </c>
      <c r="U35" s="13">
        <v>1.5629354385200001</v>
      </c>
      <c r="V35" s="56">
        <v>0</v>
      </c>
      <c r="W35" s="29">
        <f t="shared" si="1"/>
        <v>72.41685231097</v>
      </c>
    </row>
    <row r="36" spans="1:24" x14ac:dyDescent="0.3">
      <c r="A36" s="1">
        <v>12222</v>
      </c>
      <c r="B36" s="1" t="s">
        <v>2</v>
      </c>
      <c r="C36" s="1" t="s">
        <v>4</v>
      </c>
      <c r="D36" s="4">
        <v>69.572106546300006</v>
      </c>
      <c r="E36" s="85"/>
      <c r="F36" s="86"/>
      <c r="G36" s="85"/>
      <c r="H36" s="86"/>
      <c r="I36" s="87"/>
      <c r="J36" s="123"/>
      <c r="K36" s="177">
        <v>0</v>
      </c>
      <c r="L36" s="62">
        <v>0</v>
      </c>
      <c r="M36" s="129" t="s">
        <v>39</v>
      </c>
      <c r="N36" s="76">
        <v>69.599999999999994</v>
      </c>
      <c r="O36" s="144"/>
      <c r="P36" s="6">
        <v>0</v>
      </c>
      <c r="Q36" s="16">
        <f t="shared" si="0"/>
        <v>69.572106546300006</v>
      </c>
      <c r="R36" s="8">
        <v>0</v>
      </c>
      <c r="S36" s="13">
        <v>59.073986841100002</v>
      </c>
      <c r="T36" s="13">
        <v>0</v>
      </c>
      <c r="U36" s="13">
        <v>2.6299125590600001</v>
      </c>
      <c r="V36" s="56">
        <v>0</v>
      </c>
      <c r="W36" s="29">
        <f t="shared" si="1"/>
        <v>7.8682071461400014</v>
      </c>
    </row>
    <row r="37" spans="1:24" x14ac:dyDescent="0.3">
      <c r="A37" s="1">
        <v>12223</v>
      </c>
      <c r="B37" s="1" t="s">
        <v>2</v>
      </c>
      <c r="C37" s="1" t="s">
        <v>4</v>
      </c>
      <c r="D37" s="4">
        <v>29.177325097760001</v>
      </c>
      <c r="E37" s="89"/>
      <c r="F37" s="84"/>
      <c r="G37" s="88"/>
      <c r="H37" s="87"/>
      <c r="I37" s="87"/>
      <c r="J37" s="123"/>
      <c r="K37" s="177">
        <v>0</v>
      </c>
      <c r="L37" s="62">
        <v>0</v>
      </c>
      <c r="M37" s="129" t="s">
        <v>39</v>
      </c>
      <c r="N37" s="74">
        <v>29.2</v>
      </c>
      <c r="O37" s="194"/>
      <c r="P37" s="6">
        <v>0</v>
      </c>
      <c r="Q37" s="16">
        <f t="shared" si="0"/>
        <v>29.177325097760001</v>
      </c>
      <c r="R37" s="8">
        <v>7.9864921519700003</v>
      </c>
      <c r="S37" s="13">
        <v>1.345059054</v>
      </c>
      <c r="T37" s="13">
        <v>0</v>
      </c>
      <c r="U37" s="13">
        <v>14.291162655600001</v>
      </c>
      <c r="V37" s="56">
        <v>0</v>
      </c>
      <c r="W37" s="29">
        <f t="shared" si="1"/>
        <v>13.54110338816</v>
      </c>
    </row>
    <row r="38" spans="1:24" x14ac:dyDescent="0.3">
      <c r="A38" s="1">
        <v>12414</v>
      </c>
      <c r="B38" s="1" t="s">
        <v>2</v>
      </c>
      <c r="C38" s="1" t="s">
        <v>4</v>
      </c>
      <c r="D38" s="7">
        <v>26.283228471969998</v>
      </c>
      <c r="E38" s="89" t="s">
        <v>65</v>
      </c>
      <c r="F38" s="84">
        <v>26.283228471969998</v>
      </c>
      <c r="I38" s="87"/>
      <c r="J38" s="87"/>
      <c r="K38" s="177">
        <v>0</v>
      </c>
      <c r="L38" s="62">
        <v>0</v>
      </c>
      <c r="M38" s="71"/>
      <c r="N38" s="189"/>
      <c r="O38" s="69"/>
      <c r="P38" s="6">
        <v>26.283228472000001</v>
      </c>
      <c r="Q38" s="12">
        <f t="shared" si="0"/>
        <v>-3.000266701747023E-11</v>
      </c>
      <c r="R38" s="35">
        <v>0</v>
      </c>
      <c r="S38" s="13">
        <v>15.805265431800001</v>
      </c>
      <c r="T38" s="13">
        <v>10.477963040200001</v>
      </c>
      <c r="U38" s="13">
        <v>0</v>
      </c>
      <c r="V38" s="56">
        <v>0</v>
      </c>
      <c r="W38" s="29">
        <f t="shared" si="1"/>
        <v>-3.000266701747023E-11</v>
      </c>
    </row>
    <row r="39" spans="1:24" x14ac:dyDescent="0.3">
      <c r="A39" s="1">
        <v>12415</v>
      </c>
      <c r="B39" s="1" t="s">
        <v>2</v>
      </c>
      <c r="C39" s="1" t="s">
        <v>4</v>
      </c>
      <c r="D39" s="7">
        <v>42.9</v>
      </c>
      <c r="E39" s="89" t="s">
        <v>61</v>
      </c>
      <c r="F39" s="84">
        <v>42.9</v>
      </c>
      <c r="G39" s="88"/>
      <c r="H39" s="87"/>
      <c r="I39" s="87"/>
      <c r="J39" s="87"/>
      <c r="K39" s="177">
        <v>0</v>
      </c>
      <c r="L39" s="62">
        <v>0</v>
      </c>
      <c r="M39" s="71"/>
      <c r="N39" s="189"/>
      <c r="O39" s="69"/>
      <c r="P39" s="6">
        <v>42.940055012899997</v>
      </c>
      <c r="Q39" s="12">
        <f t="shared" si="0"/>
        <v>-4.0055012899998133E-2</v>
      </c>
      <c r="R39" s="35">
        <v>0.22547523340200001</v>
      </c>
      <c r="S39" s="13">
        <v>12.2105978361</v>
      </c>
      <c r="T39" s="13">
        <v>0</v>
      </c>
      <c r="U39" s="13">
        <v>25.2377420724</v>
      </c>
      <c r="V39" s="56">
        <v>0</v>
      </c>
      <c r="W39" s="29">
        <f t="shared" si="1"/>
        <v>5.4516600914999955</v>
      </c>
    </row>
    <row r="40" spans="1:24" s="67" customFormat="1" x14ac:dyDescent="0.3">
      <c r="A40" s="171" t="s">
        <v>67</v>
      </c>
      <c r="B40" s="171" t="s">
        <v>2</v>
      </c>
      <c r="C40" s="171"/>
      <c r="D40" s="164">
        <f>SUM(D3:D39)</f>
        <v>1248.8807793810101</v>
      </c>
      <c r="E40" s="164"/>
      <c r="F40" s="164">
        <f t="shared" ref="F40:K40" si="2">SUM(F3:F39)</f>
        <v>538.31463112152005</v>
      </c>
      <c r="G40" s="164"/>
      <c r="H40" s="164">
        <f t="shared" si="2"/>
        <v>111.93859104965</v>
      </c>
      <c r="I40" s="164"/>
      <c r="J40" s="164">
        <f t="shared" si="2"/>
        <v>0</v>
      </c>
      <c r="K40" s="164">
        <f t="shared" si="2"/>
        <v>80.291440230727005</v>
      </c>
      <c r="L40" s="164">
        <f>SUM(L3:L39)</f>
        <v>54.560233677519996</v>
      </c>
      <c r="M40" s="164"/>
      <c r="N40" s="164">
        <f t="shared" ref="N40:W40" si="3">SUM(N3:N39)</f>
        <v>578.00000000000011</v>
      </c>
      <c r="O40" s="164">
        <f t="shared" si="3"/>
        <v>21.52654195325</v>
      </c>
      <c r="P40" s="164">
        <f t="shared" si="3"/>
        <v>647.952551569604</v>
      </c>
      <c r="Q40" s="164">
        <f t="shared" si="3"/>
        <v>600.92822781140592</v>
      </c>
      <c r="R40" s="164">
        <f t="shared" si="3"/>
        <v>78.023159549471814</v>
      </c>
      <c r="S40" s="164">
        <f t="shared" si="3"/>
        <v>443.70718408795307</v>
      </c>
      <c r="T40" s="164">
        <f t="shared" si="3"/>
        <v>272.10308556862702</v>
      </c>
      <c r="U40" s="164">
        <f t="shared" si="3"/>
        <v>221.0415365536256</v>
      </c>
      <c r="V40" s="164">
        <f t="shared" si="3"/>
        <v>18.072538325303</v>
      </c>
      <c r="W40" s="164">
        <f t="shared" si="3"/>
        <v>293.95643484550141</v>
      </c>
    </row>
    <row r="41" spans="1:24" s="155" customFormat="1" ht="18" customHeight="1" x14ac:dyDescent="0.3">
      <c r="A41" s="112"/>
      <c r="B41" s="112"/>
      <c r="C41" s="112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0"/>
      <c r="R41" s="114"/>
      <c r="S41" s="381" t="s">
        <v>79</v>
      </c>
      <c r="T41" s="382"/>
      <c r="U41" s="382"/>
      <c r="V41" s="97" t="s">
        <v>20</v>
      </c>
      <c r="W41" s="57"/>
    </row>
    <row r="42" spans="1:24" s="155" customFormat="1" ht="28.8" x14ac:dyDescent="0.3">
      <c r="A42" s="112"/>
      <c r="B42" s="112"/>
      <c r="C42" s="112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0"/>
      <c r="R42" s="114"/>
      <c r="S42" s="58" t="s">
        <v>80</v>
      </c>
      <c r="T42" s="58" t="s">
        <v>81</v>
      </c>
      <c r="U42" s="58" t="s">
        <v>82</v>
      </c>
      <c r="V42" s="186" t="s">
        <v>83</v>
      </c>
      <c r="W42" s="58" t="s">
        <v>84</v>
      </c>
    </row>
    <row r="43" spans="1:24" x14ac:dyDescent="0.3">
      <c r="A43" s="212">
        <v>9248</v>
      </c>
      <c r="B43" s="212" t="s">
        <v>40</v>
      </c>
      <c r="C43" s="212" t="s">
        <v>3</v>
      </c>
      <c r="D43" s="197">
        <v>7.0330942972099999</v>
      </c>
      <c r="E43" s="183" t="s">
        <v>307</v>
      </c>
      <c r="F43" s="147">
        <v>6.8696054371099997</v>
      </c>
      <c r="G43" s="183" t="s">
        <v>74</v>
      </c>
      <c r="H43" s="147">
        <v>0.16349077054</v>
      </c>
      <c r="I43" s="203"/>
      <c r="J43" s="203"/>
      <c r="K43" s="145">
        <v>0.59669088357</v>
      </c>
      <c r="L43" s="184">
        <v>0</v>
      </c>
      <c r="M43" s="214"/>
      <c r="N43" s="175"/>
      <c r="O43" s="178"/>
      <c r="P43" s="166">
        <v>7.0330942972099999</v>
      </c>
      <c r="Q43" s="167">
        <f t="shared" si="0"/>
        <v>0</v>
      </c>
      <c r="R43" s="188">
        <v>5.3045669916399998</v>
      </c>
      <c r="S43" s="170">
        <v>0</v>
      </c>
      <c r="T43" s="170">
        <v>0.156014657403</v>
      </c>
      <c r="U43" s="170">
        <v>0</v>
      </c>
      <c r="V43" s="174">
        <v>0</v>
      </c>
      <c r="W43" s="215">
        <f>D43-(S43+T43+U43+V43)</f>
        <v>6.8770796398069995</v>
      </c>
    </row>
    <row r="44" spans="1:24" x14ac:dyDescent="0.3">
      <c r="A44" s="1">
        <v>9249</v>
      </c>
      <c r="B44" s="1" t="s">
        <v>40</v>
      </c>
      <c r="C44" s="1" t="s">
        <v>3</v>
      </c>
      <c r="D44" s="7">
        <v>9.8218808824400003</v>
      </c>
      <c r="E44" s="89" t="s">
        <v>26</v>
      </c>
      <c r="F44" s="84">
        <v>9.8218808824400003</v>
      </c>
      <c r="G44" s="89"/>
      <c r="H44" s="84"/>
      <c r="I44" s="84"/>
      <c r="J44" s="84"/>
      <c r="K44" s="177">
        <v>3.2984003390500001</v>
      </c>
      <c r="L44" s="62">
        <v>0</v>
      </c>
      <c r="M44" s="53"/>
      <c r="N44" s="52"/>
      <c r="O44" s="152"/>
      <c r="P44" s="6">
        <v>9.8218808824499995</v>
      </c>
      <c r="Q44" s="16">
        <f t="shared" si="0"/>
        <v>-9.9991126489840099E-12</v>
      </c>
      <c r="R44" s="35">
        <v>0</v>
      </c>
      <c r="S44" s="13">
        <v>0</v>
      </c>
      <c r="T44" s="13">
        <v>0</v>
      </c>
      <c r="U44" s="13">
        <v>9.8218808824299995</v>
      </c>
      <c r="V44" s="56">
        <v>0</v>
      </c>
      <c r="W44" s="29">
        <f t="shared" ref="W44:W78" si="4">D44-(S44+T44+U44+V44)</f>
        <v>1.000088900582341E-11</v>
      </c>
    </row>
    <row r="45" spans="1:24" x14ac:dyDescent="0.3">
      <c r="A45" s="212">
        <v>9250</v>
      </c>
      <c r="B45" s="212" t="s">
        <v>40</v>
      </c>
      <c r="C45" s="212" t="s">
        <v>3</v>
      </c>
      <c r="D45" s="160">
        <v>79.596892911889995</v>
      </c>
      <c r="E45" s="183" t="s">
        <v>307</v>
      </c>
      <c r="F45" s="147">
        <v>79.596892911889995</v>
      </c>
      <c r="G45" s="172"/>
      <c r="H45" s="203"/>
      <c r="I45" s="203"/>
      <c r="J45" s="158"/>
      <c r="K45" s="145">
        <v>26.190053561300001</v>
      </c>
      <c r="L45" s="184">
        <v>1.4912189144400001</v>
      </c>
      <c r="M45" s="156"/>
      <c r="N45" s="191"/>
      <c r="O45" s="157"/>
      <c r="P45" s="6">
        <v>79.596892911899999</v>
      </c>
      <c r="Q45" s="16">
        <f t="shared" si="0"/>
        <v>-1.0004441719502211E-11</v>
      </c>
      <c r="R45" s="168">
        <v>78.477962133000005</v>
      </c>
      <c r="S45" s="170">
        <v>0</v>
      </c>
      <c r="T45" s="170">
        <v>24.237964796</v>
      </c>
      <c r="U45" s="170">
        <v>0</v>
      </c>
      <c r="V45" s="174">
        <v>0</v>
      </c>
      <c r="W45" s="29">
        <f t="shared" si="4"/>
        <v>55.358928115889995</v>
      </c>
    </row>
    <row r="46" spans="1:24" x14ac:dyDescent="0.3">
      <c r="A46" s="1">
        <v>9251</v>
      </c>
      <c r="B46" s="1" t="s">
        <v>40</v>
      </c>
      <c r="C46" s="1" t="s">
        <v>3</v>
      </c>
      <c r="D46" s="4">
        <v>12.881675145859999</v>
      </c>
      <c r="E46" s="89" t="s">
        <v>75</v>
      </c>
      <c r="F46" s="84">
        <v>8.2830660175700004</v>
      </c>
      <c r="G46" s="89"/>
      <c r="H46" s="84"/>
      <c r="K46" s="177">
        <v>0</v>
      </c>
      <c r="L46" s="62">
        <v>0</v>
      </c>
      <c r="M46" s="128"/>
      <c r="N46" s="75"/>
      <c r="O46" s="152">
        <v>4.5999999999999996</v>
      </c>
      <c r="P46" s="6">
        <v>8.3000000000000007</v>
      </c>
      <c r="Q46" s="16">
        <f t="shared" si="0"/>
        <v>4.5816751458599985</v>
      </c>
      <c r="R46" s="8">
        <v>0</v>
      </c>
      <c r="S46" s="13">
        <v>8.7690908134000001</v>
      </c>
      <c r="T46" s="13">
        <v>4.11258433244</v>
      </c>
      <c r="U46" s="13">
        <v>0</v>
      </c>
      <c r="V46" s="56">
        <v>0</v>
      </c>
      <c r="W46" s="29">
        <f t="shared" si="4"/>
        <v>2.000000165480742E-11</v>
      </c>
    </row>
    <row r="47" spans="1:24" x14ac:dyDescent="0.3">
      <c r="A47" s="1">
        <v>9252</v>
      </c>
      <c r="B47" s="1" t="s">
        <v>40</v>
      </c>
      <c r="C47" s="1" t="s">
        <v>3</v>
      </c>
      <c r="D47" s="4">
        <v>68.405985851799997</v>
      </c>
      <c r="E47" s="89" t="s">
        <v>65</v>
      </c>
      <c r="F47" s="84">
        <v>30.619108998129999</v>
      </c>
      <c r="G47" s="89" t="s">
        <v>35</v>
      </c>
      <c r="H47" s="84">
        <v>31.789719070619999</v>
      </c>
      <c r="I47" s="87"/>
      <c r="J47" s="123"/>
      <c r="K47" s="177">
        <v>2.4129908484799998</v>
      </c>
      <c r="L47" s="62">
        <v>0</v>
      </c>
      <c r="M47" s="128"/>
      <c r="N47" s="75"/>
      <c r="O47" s="141">
        <v>6</v>
      </c>
      <c r="P47" s="6">
        <v>62.271092263699998</v>
      </c>
      <c r="Q47" s="16">
        <f t="shared" si="0"/>
        <v>6.1348935880999989</v>
      </c>
      <c r="R47" s="8">
        <v>0</v>
      </c>
      <c r="S47" s="13">
        <v>27.627785095299998</v>
      </c>
      <c r="T47" s="13">
        <v>14.3672998728</v>
      </c>
      <c r="U47" s="13">
        <v>18.067666153299999</v>
      </c>
      <c r="V47" s="56">
        <v>0</v>
      </c>
      <c r="W47" s="29">
        <f t="shared" si="4"/>
        <v>8.343234730399999</v>
      </c>
    </row>
    <row r="48" spans="1:24" x14ac:dyDescent="0.3">
      <c r="A48" s="1">
        <v>9253</v>
      </c>
      <c r="B48" s="1" t="s">
        <v>40</v>
      </c>
      <c r="C48" s="1" t="s">
        <v>3</v>
      </c>
      <c r="D48" s="4">
        <v>17.59185507914</v>
      </c>
      <c r="E48" s="89" t="s">
        <v>76</v>
      </c>
      <c r="F48" s="84">
        <v>17.59185507914</v>
      </c>
      <c r="G48" s="88"/>
      <c r="H48" s="87"/>
      <c r="I48" s="87"/>
      <c r="J48" s="123"/>
      <c r="K48" s="177">
        <v>0</v>
      </c>
      <c r="L48" s="62">
        <v>0</v>
      </c>
      <c r="M48" s="128"/>
      <c r="N48" s="75"/>
      <c r="O48" s="141"/>
      <c r="P48" s="6">
        <v>17.5918550791</v>
      </c>
      <c r="Q48" s="16">
        <f t="shared" si="0"/>
        <v>4.000000330961484E-11</v>
      </c>
      <c r="R48" s="8">
        <v>3.5722425691500002</v>
      </c>
      <c r="S48" s="13">
        <v>15.862462688100001</v>
      </c>
      <c r="T48" s="13">
        <v>1.72939239107</v>
      </c>
      <c r="U48" s="13">
        <v>0</v>
      </c>
      <c r="V48" s="56">
        <v>0</v>
      </c>
      <c r="W48" s="29">
        <f t="shared" si="4"/>
        <v>-2.999911430379143E-11</v>
      </c>
      <c r="X48" s="15"/>
    </row>
    <row r="49" spans="1:27" x14ac:dyDescent="0.3">
      <c r="A49" s="1">
        <v>9254</v>
      </c>
      <c r="B49" s="1" t="s">
        <v>40</v>
      </c>
      <c r="C49" s="1" t="s">
        <v>3</v>
      </c>
      <c r="D49" s="4">
        <v>7.3706989651899999</v>
      </c>
      <c r="E49" s="89" t="s">
        <v>308</v>
      </c>
      <c r="F49" s="84">
        <v>7.3706989651899999</v>
      </c>
      <c r="G49" s="85"/>
      <c r="H49" s="86"/>
      <c r="I49" s="87"/>
      <c r="J49" s="123"/>
      <c r="K49" s="177">
        <v>0</v>
      </c>
      <c r="L49" s="62">
        <v>0</v>
      </c>
      <c r="M49" s="128"/>
      <c r="N49" s="75"/>
      <c r="O49" s="152"/>
      <c r="P49" s="6">
        <v>7.3706989651999999</v>
      </c>
      <c r="Q49" s="16">
        <f t="shared" si="0"/>
        <v>-1.000000082740371E-11</v>
      </c>
      <c r="R49" s="8">
        <v>7.3706989651899999</v>
      </c>
      <c r="S49" s="13">
        <v>0</v>
      </c>
      <c r="T49" s="13">
        <v>0</v>
      </c>
      <c r="U49" s="13">
        <v>0</v>
      </c>
      <c r="V49" s="56">
        <v>0</v>
      </c>
      <c r="W49" s="29">
        <f t="shared" si="4"/>
        <v>7.3706989651899999</v>
      </c>
    </row>
    <row r="50" spans="1:27" x14ac:dyDescent="0.3">
      <c r="A50" s="1">
        <v>9255</v>
      </c>
      <c r="B50" s="1" t="s">
        <v>40</v>
      </c>
      <c r="C50" s="1" t="s">
        <v>3</v>
      </c>
      <c r="D50" s="4">
        <v>107.42380281139999</v>
      </c>
      <c r="E50" s="89" t="s">
        <v>307</v>
      </c>
      <c r="F50" s="84">
        <v>107.42380281139999</v>
      </c>
      <c r="G50" s="88"/>
      <c r="H50" s="87"/>
      <c r="I50" s="87"/>
      <c r="J50" s="123"/>
      <c r="K50" s="177">
        <v>0</v>
      </c>
      <c r="L50" s="62">
        <v>76.012654897999994</v>
      </c>
      <c r="M50" s="128"/>
      <c r="N50" s="75"/>
      <c r="O50" s="152"/>
      <c r="P50" s="6">
        <v>107.423802811</v>
      </c>
      <c r="Q50" s="16">
        <f t="shared" si="0"/>
        <v>3.999929276687908E-10</v>
      </c>
      <c r="R50" s="8">
        <v>43.017721637699999</v>
      </c>
      <c r="S50" s="13">
        <v>0</v>
      </c>
      <c r="T50" s="13">
        <v>0</v>
      </c>
      <c r="U50" s="13">
        <v>0</v>
      </c>
      <c r="V50" s="56">
        <v>0</v>
      </c>
      <c r="W50" s="29">
        <f t="shared" si="4"/>
        <v>107.42380281139999</v>
      </c>
    </row>
    <row r="51" spans="1:27" x14ac:dyDescent="0.3">
      <c r="A51" s="1">
        <v>9256</v>
      </c>
      <c r="B51" s="1" t="s">
        <v>40</v>
      </c>
      <c r="C51" s="1" t="s">
        <v>3</v>
      </c>
      <c r="D51" s="4">
        <v>21.39906702347</v>
      </c>
      <c r="E51" s="89" t="s">
        <v>30</v>
      </c>
      <c r="F51" s="84">
        <v>20.6838756623</v>
      </c>
      <c r="G51" s="89" t="s">
        <v>27</v>
      </c>
      <c r="H51" s="84">
        <v>0.71519111368999999</v>
      </c>
      <c r="I51" s="87"/>
      <c r="J51" s="123"/>
      <c r="K51" s="177">
        <v>4.6033378442200004</v>
      </c>
      <c r="L51" s="62">
        <v>0</v>
      </c>
      <c r="M51" s="128"/>
      <c r="N51" s="75"/>
      <c r="O51" s="152"/>
      <c r="P51" s="6">
        <v>21.399067023499999</v>
      </c>
      <c r="Q51" s="16">
        <f t="shared" si="0"/>
        <v>-2.999911430379143E-11</v>
      </c>
      <c r="R51" s="8">
        <v>0</v>
      </c>
      <c r="S51" s="13">
        <v>0</v>
      </c>
      <c r="T51" s="13">
        <v>16.795684116299999</v>
      </c>
      <c r="U51" s="13">
        <v>0</v>
      </c>
      <c r="V51" s="56">
        <v>0</v>
      </c>
      <c r="W51" s="29">
        <f t="shared" si="4"/>
        <v>4.6033829071700012</v>
      </c>
    </row>
    <row r="52" spans="1:27" x14ac:dyDescent="0.3">
      <c r="A52" s="1">
        <v>9257</v>
      </c>
      <c r="B52" s="1" t="s">
        <v>40</v>
      </c>
      <c r="C52" s="1" t="s">
        <v>3</v>
      </c>
      <c r="D52" s="4">
        <v>47.35672567204</v>
      </c>
      <c r="E52" s="89" t="s">
        <v>65</v>
      </c>
      <c r="F52" s="84">
        <v>47.356725672030002</v>
      </c>
      <c r="G52" s="85"/>
      <c r="H52" s="86"/>
      <c r="I52" s="87"/>
      <c r="J52" s="123"/>
      <c r="K52" s="177">
        <v>0</v>
      </c>
      <c r="L52" s="62">
        <v>0</v>
      </c>
      <c r="M52" s="128"/>
      <c r="N52" s="75"/>
      <c r="O52" s="152"/>
      <c r="P52" s="6">
        <v>0.16354267100600001</v>
      </c>
      <c r="Q52" s="16">
        <f t="shared" si="0"/>
        <v>47.193183001034001</v>
      </c>
      <c r="R52" s="8">
        <v>0</v>
      </c>
      <c r="S52" s="13">
        <v>47.356725672000003</v>
      </c>
      <c r="T52" s="13">
        <v>0</v>
      </c>
      <c r="U52" s="13">
        <v>0</v>
      </c>
      <c r="V52" s="56">
        <v>0</v>
      </c>
      <c r="W52" s="29">
        <f t="shared" si="4"/>
        <v>3.9996450595936039E-11</v>
      </c>
      <c r="X52" s="15"/>
      <c r="AA52" s="15"/>
    </row>
    <row r="53" spans="1:27" x14ac:dyDescent="0.3">
      <c r="A53" s="1">
        <v>9258</v>
      </c>
      <c r="B53" s="1" t="s">
        <v>40</v>
      </c>
      <c r="C53" s="1" t="s">
        <v>3</v>
      </c>
      <c r="D53" s="4">
        <v>18.06605447419</v>
      </c>
      <c r="E53" s="89" t="s">
        <v>26</v>
      </c>
      <c r="F53" s="84">
        <v>5.9845917808599998</v>
      </c>
      <c r="G53" s="89" t="s">
        <v>65</v>
      </c>
      <c r="H53" s="84">
        <v>12.08146269335</v>
      </c>
      <c r="I53" s="87"/>
      <c r="J53" s="123"/>
      <c r="K53" s="177">
        <v>0</v>
      </c>
      <c r="L53" s="62">
        <v>0</v>
      </c>
      <c r="M53" s="128"/>
      <c r="N53" s="75"/>
      <c r="O53" s="152"/>
      <c r="P53" s="6">
        <v>16.0317893283</v>
      </c>
      <c r="Q53" s="16">
        <f t="shared" si="0"/>
        <v>2.0342651458900001</v>
      </c>
      <c r="R53" s="8">
        <v>0</v>
      </c>
      <c r="S53" s="13">
        <v>6.6016274390399996</v>
      </c>
      <c r="T53" s="13">
        <v>11.4644270352</v>
      </c>
      <c r="U53" s="13">
        <v>0</v>
      </c>
      <c r="V53" s="56">
        <v>0</v>
      </c>
      <c r="W53" s="29">
        <f t="shared" si="4"/>
        <v>-4.999733960175945E-11</v>
      </c>
    </row>
    <row r="54" spans="1:27" x14ac:dyDescent="0.3">
      <c r="A54" s="1">
        <v>9260</v>
      </c>
      <c r="B54" s="1" t="s">
        <v>40</v>
      </c>
      <c r="C54" s="1" t="s">
        <v>3</v>
      </c>
      <c r="D54" s="4">
        <v>45.347406242220003</v>
      </c>
      <c r="E54" s="89" t="s">
        <v>65</v>
      </c>
      <c r="F54" s="84">
        <v>45.347406242230001</v>
      </c>
      <c r="G54" s="88"/>
      <c r="H54" s="87"/>
      <c r="I54" s="87"/>
      <c r="J54" s="123"/>
      <c r="K54" s="177">
        <v>4.7010861629700003</v>
      </c>
      <c r="L54" s="62">
        <v>0</v>
      </c>
      <c r="M54" s="128"/>
      <c r="N54" s="75"/>
      <c r="O54" s="152"/>
      <c r="P54" s="6">
        <v>34.7676164493</v>
      </c>
      <c r="Q54" s="16">
        <f t="shared" si="0"/>
        <v>10.579789792920003</v>
      </c>
      <c r="R54" s="8">
        <v>9.1536664570199999</v>
      </c>
      <c r="S54" s="13">
        <v>14.9568740794</v>
      </c>
      <c r="T54" s="13">
        <v>4.0733910902300003</v>
      </c>
      <c r="U54" s="13">
        <v>11.8060542254</v>
      </c>
      <c r="V54" s="56">
        <v>0</v>
      </c>
      <c r="W54" s="29">
        <f t="shared" si="4"/>
        <v>14.511086847190004</v>
      </c>
    </row>
    <row r="55" spans="1:27" x14ac:dyDescent="0.3">
      <c r="A55" s="1">
        <v>9265</v>
      </c>
      <c r="B55" s="1" t="s">
        <v>40</v>
      </c>
      <c r="C55" s="1" t="s">
        <v>3</v>
      </c>
      <c r="D55" s="4">
        <v>17.242393701920001</v>
      </c>
      <c r="E55" s="89" t="s">
        <v>65</v>
      </c>
      <c r="F55" s="84">
        <v>17.242393701929998</v>
      </c>
      <c r="G55" s="89"/>
      <c r="H55" s="84"/>
      <c r="I55" s="87"/>
      <c r="J55" s="123"/>
      <c r="K55" s="177">
        <v>2.8198078760700001</v>
      </c>
      <c r="L55" s="62">
        <v>0</v>
      </c>
      <c r="M55" s="128"/>
      <c r="N55" s="75"/>
      <c r="O55" s="152"/>
      <c r="P55" s="6">
        <v>17.242393701899999</v>
      </c>
      <c r="Q55" s="16">
        <f t="shared" si="0"/>
        <v>2.000177801164682E-11</v>
      </c>
      <c r="R55" s="8">
        <v>0</v>
      </c>
      <c r="S55" s="13">
        <v>7.4374792058799999</v>
      </c>
      <c r="T55" s="13">
        <v>0.86566472351900003</v>
      </c>
      <c r="U55" s="13">
        <v>8.6183025957399995</v>
      </c>
      <c r="V55" s="56">
        <v>0</v>
      </c>
      <c r="W55" s="29">
        <f t="shared" si="4"/>
        <v>0.32094717678100437</v>
      </c>
    </row>
    <row r="56" spans="1:27" x14ac:dyDescent="0.3">
      <c r="A56" s="1">
        <v>9266</v>
      </c>
      <c r="B56" s="1" t="s">
        <v>40</v>
      </c>
      <c r="C56" s="1" t="s">
        <v>3</v>
      </c>
      <c r="D56" s="4">
        <v>24.788757736840001</v>
      </c>
      <c r="E56" s="89" t="s">
        <v>307</v>
      </c>
      <c r="F56" s="84">
        <v>24.788757736840001</v>
      </c>
      <c r="G56" s="88"/>
      <c r="H56" s="87"/>
      <c r="I56" s="87"/>
      <c r="J56" s="123"/>
      <c r="K56" s="177">
        <v>1.1600455536200001</v>
      </c>
      <c r="L56" s="62">
        <v>0</v>
      </c>
      <c r="M56" s="128"/>
      <c r="N56" s="75"/>
      <c r="O56" s="152"/>
      <c r="P56" s="6">
        <v>24.788757736800001</v>
      </c>
      <c r="Q56" s="16">
        <f t="shared" si="0"/>
        <v>4.000000330961484E-11</v>
      </c>
      <c r="R56" s="8">
        <v>12.500487293200001</v>
      </c>
      <c r="S56" s="13">
        <v>0</v>
      </c>
      <c r="T56" s="13">
        <v>0</v>
      </c>
      <c r="U56" s="13">
        <v>0</v>
      </c>
      <c r="V56" s="56">
        <v>0</v>
      </c>
      <c r="W56" s="29">
        <f t="shared" si="4"/>
        <v>24.788757736840001</v>
      </c>
    </row>
    <row r="57" spans="1:27" x14ac:dyDescent="0.3">
      <c r="A57" s="1">
        <v>10412</v>
      </c>
      <c r="B57" s="1" t="s">
        <v>40</v>
      </c>
      <c r="C57" s="1" t="s">
        <v>6</v>
      </c>
      <c r="D57" s="4">
        <v>5.9457354398</v>
      </c>
      <c r="E57" s="89" t="s">
        <v>11</v>
      </c>
      <c r="F57" s="84">
        <v>5.87414926709</v>
      </c>
      <c r="G57" s="85"/>
      <c r="H57" s="86"/>
      <c r="I57" s="87"/>
      <c r="J57" s="123"/>
      <c r="K57" s="177">
        <v>0</v>
      </c>
      <c r="L57" s="62">
        <v>0</v>
      </c>
      <c r="M57" s="128"/>
      <c r="N57" s="75"/>
      <c r="O57" s="141">
        <v>9.5936806244299996E-2</v>
      </c>
      <c r="P57" s="6">
        <v>5.8497986335099998</v>
      </c>
      <c r="Q57" s="16">
        <f t="shared" si="0"/>
        <v>9.5936806290000121E-2</v>
      </c>
      <c r="R57" s="8">
        <v>0</v>
      </c>
      <c r="S57" s="13">
        <v>5.9457354398</v>
      </c>
      <c r="T57" s="13">
        <v>0</v>
      </c>
      <c r="U57" s="13">
        <v>0</v>
      </c>
      <c r="V57" s="56">
        <v>0</v>
      </c>
      <c r="W57" s="29">
        <f t="shared" si="4"/>
        <v>0</v>
      </c>
    </row>
    <row r="58" spans="1:27" x14ac:dyDescent="0.3">
      <c r="A58" s="1">
        <v>10413</v>
      </c>
      <c r="B58" s="1" t="s">
        <v>40</v>
      </c>
      <c r="C58" s="1" t="s">
        <v>4</v>
      </c>
      <c r="D58" s="4">
        <v>39.072607029540002</v>
      </c>
      <c r="E58" s="85"/>
      <c r="F58" s="86"/>
      <c r="G58" s="88"/>
      <c r="H58" s="87"/>
      <c r="I58" s="87"/>
      <c r="J58" s="123"/>
      <c r="K58" s="177">
        <v>0</v>
      </c>
      <c r="L58" s="62">
        <v>0</v>
      </c>
      <c r="M58" s="128"/>
      <c r="N58" s="75"/>
      <c r="O58" s="141">
        <v>39.082261112600001</v>
      </c>
      <c r="P58" s="6">
        <v>1.8038753671899999E-3</v>
      </c>
      <c r="Q58" s="16">
        <f t="shared" si="0"/>
        <v>39.070803154172815</v>
      </c>
      <c r="R58" s="8">
        <v>0</v>
      </c>
      <c r="S58" s="13">
        <v>1.3047749827399999</v>
      </c>
      <c r="T58" s="13">
        <v>0</v>
      </c>
      <c r="U58" s="13">
        <v>0</v>
      </c>
      <c r="V58" s="56">
        <v>0</v>
      </c>
      <c r="W58" s="29">
        <f t="shared" si="4"/>
        <v>37.767832046800002</v>
      </c>
    </row>
    <row r="59" spans="1:27" x14ac:dyDescent="0.3">
      <c r="A59" s="1">
        <v>10414</v>
      </c>
      <c r="B59" s="1" t="s">
        <v>40</v>
      </c>
      <c r="C59" s="1" t="s">
        <v>6</v>
      </c>
      <c r="D59" s="4">
        <v>7.7582854831799999</v>
      </c>
      <c r="E59" s="89" t="s">
        <v>307</v>
      </c>
      <c r="F59" s="84">
        <v>7.7582854831799999</v>
      </c>
      <c r="G59" s="89"/>
      <c r="H59" s="84"/>
      <c r="I59" s="84"/>
      <c r="J59" s="119"/>
      <c r="K59" s="177">
        <v>0</v>
      </c>
      <c r="L59" s="62">
        <v>7.7582854831699999</v>
      </c>
      <c r="M59" s="128"/>
      <c r="N59" s="75"/>
      <c r="O59" s="152"/>
      <c r="P59" s="6">
        <v>7.7582854831699999</v>
      </c>
      <c r="Q59" s="16">
        <f t="shared" si="0"/>
        <v>1.000000082740371E-11</v>
      </c>
      <c r="R59" s="8">
        <v>7.7582854831699999</v>
      </c>
      <c r="S59" s="13">
        <v>0</v>
      </c>
      <c r="T59" s="13">
        <v>0</v>
      </c>
      <c r="U59" s="13">
        <v>0</v>
      </c>
      <c r="V59" s="56">
        <v>0</v>
      </c>
      <c r="W59" s="29">
        <f t="shared" si="4"/>
        <v>7.7582854831799999</v>
      </c>
    </row>
    <row r="60" spans="1:27" x14ac:dyDescent="0.3">
      <c r="A60" s="1">
        <v>10415</v>
      </c>
      <c r="B60" s="1" t="s">
        <v>40</v>
      </c>
      <c r="C60" s="1" t="s">
        <v>6</v>
      </c>
      <c r="D60" s="4">
        <v>8.5671085119000008</v>
      </c>
      <c r="E60" s="89" t="s">
        <v>307</v>
      </c>
      <c r="F60" s="84">
        <v>8.5671085119000008</v>
      </c>
      <c r="G60" s="88"/>
      <c r="H60" s="87"/>
      <c r="I60" s="87"/>
      <c r="J60" s="123"/>
      <c r="K60" s="177">
        <v>3.6836950530200001</v>
      </c>
      <c r="L60" s="62">
        <v>8.5671085119099999</v>
      </c>
      <c r="M60" s="128"/>
      <c r="N60" s="75"/>
      <c r="O60" s="152"/>
      <c r="P60" s="6">
        <v>8.5671085119099999</v>
      </c>
      <c r="Q60" s="16">
        <f t="shared" si="0"/>
        <v>-9.9991126489840099E-12</v>
      </c>
      <c r="R60" s="8">
        <v>8.5671085119099999</v>
      </c>
      <c r="S60" s="13">
        <v>3.6836949947200002</v>
      </c>
      <c r="T60" s="13">
        <v>0</v>
      </c>
      <c r="U60" s="13">
        <v>0</v>
      </c>
      <c r="V60" s="56">
        <v>0</v>
      </c>
      <c r="W60" s="29">
        <f t="shared" si="4"/>
        <v>4.8834135171800011</v>
      </c>
    </row>
    <row r="61" spans="1:27" x14ac:dyDescent="0.3">
      <c r="A61" s="1">
        <v>10416</v>
      </c>
      <c r="B61" s="1" t="s">
        <v>40</v>
      </c>
      <c r="C61" s="1" t="s">
        <v>6</v>
      </c>
      <c r="D61" s="4">
        <v>35.097878626949999</v>
      </c>
      <c r="E61" s="89" t="s">
        <v>307</v>
      </c>
      <c r="F61" s="84">
        <v>35.097878626949999</v>
      </c>
      <c r="G61" s="88"/>
      <c r="H61" s="87"/>
      <c r="I61" s="87"/>
      <c r="J61" s="123"/>
      <c r="K61" s="177">
        <v>6.8407750949599997</v>
      </c>
      <c r="L61" s="62">
        <v>33.528218424899997</v>
      </c>
      <c r="M61" s="128"/>
      <c r="N61" s="75"/>
      <c r="O61" s="152"/>
      <c r="P61" s="6">
        <v>35.097878626899998</v>
      </c>
      <c r="Q61" s="16">
        <f t="shared" si="0"/>
        <v>5.000089231543825E-11</v>
      </c>
      <c r="R61" s="8">
        <v>34.246171922800002</v>
      </c>
      <c r="S61" s="13">
        <v>4.9036192626400004</v>
      </c>
      <c r="T61" s="13">
        <v>0.55675984114400001</v>
      </c>
      <c r="U61" s="13">
        <v>0</v>
      </c>
      <c r="V61" s="56">
        <v>0</v>
      </c>
      <c r="W61" s="29">
        <f t="shared" si="4"/>
        <v>29.637499523165999</v>
      </c>
    </row>
    <row r="62" spans="1:27" x14ac:dyDescent="0.3">
      <c r="A62" s="1">
        <v>10417</v>
      </c>
      <c r="B62" s="1" t="s">
        <v>40</v>
      </c>
      <c r="C62" s="1" t="s">
        <v>6</v>
      </c>
      <c r="D62" s="4">
        <v>9.5954030745099992</v>
      </c>
      <c r="E62" s="89" t="s">
        <v>65</v>
      </c>
      <c r="F62" s="84">
        <v>9.5954030745200001</v>
      </c>
      <c r="G62" s="88"/>
      <c r="H62" s="87"/>
      <c r="I62" s="87"/>
      <c r="J62" s="123"/>
      <c r="K62" s="177">
        <v>0</v>
      </c>
      <c r="L62" s="62">
        <v>0</v>
      </c>
      <c r="M62" s="124"/>
      <c r="N62" s="74"/>
      <c r="O62" s="194"/>
      <c r="P62" s="6">
        <v>9.5954030745099992</v>
      </c>
      <c r="Q62" s="16">
        <f t="shared" si="0"/>
        <v>0</v>
      </c>
      <c r="R62" s="8">
        <v>3.1971118116300001</v>
      </c>
      <c r="S62" s="13">
        <v>3.1971288286399999</v>
      </c>
      <c r="T62" s="13">
        <v>0</v>
      </c>
      <c r="U62" s="13">
        <v>1.29172957584E-3</v>
      </c>
      <c r="V62" s="56">
        <v>0</v>
      </c>
      <c r="W62" s="29">
        <f t="shared" si="4"/>
        <v>6.3969825162941589</v>
      </c>
    </row>
    <row r="63" spans="1:27" x14ac:dyDescent="0.3">
      <c r="A63" s="1">
        <v>10418</v>
      </c>
      <c r="B63" s="1" t="s">
        <v>40</v>
      </c>
      <c r="C63" s="1" t="s">
        <v>6</v>
      </c>
      <c r="D63" s="4">
        <v>13.13971863904</v>
      </c>
      <c r="E63" s="89" t="s">
        <v>65</v>
      </c>
      <c r="F63" s="84">
        <v>9.5598601864399999</v>
      </c>
      <c r="G63" s="88"/>
      <c r="H63" s="87"/>
      <c r="I63" s="87"/>
      <c r="J63" s="123"/>
      <c r="K63" s="177">
        <v>0</v>
      </c>
      <c r="L63" s="62">
        <v>0</v>
      </c>
      <c r="M63" s="124"/>
      <c r="N63" s="74"/>
      <c r="O63" s="141">
        <v>3.5798584525999999</v>
      </c>
      <c r="P63" s="6">
        <v>9.5598601863399999</v>
      </c>
      <c r="Q63" s="16">
        <f t="shared" si="0"/>
        <v>3.5798584526999999</v>
      </c>
      <c r="R63" s="8">
        <v>0</v>
      </c>
      <c r="S63" s="13">
        <v>3.4802561509499998</v>
      </c>
      <c r="T63" s="13">
        <v>0</v>
      </c>
      <c r="U63" s="13">
        <v>8.6043668935100008</v>
      </c>
      <c r="V63" s="56">
        <v>0</v>
      </c>
      <c r="W63" s="29">
        <f t="shared" si="4"/>
        <v>1.0550955945799991</v>
      </c>
    </row>
    <row r="64" spans="1:27" x14ac:dyDescent="0.3">
      <c r="A64" s="1">
        <v>10419</v>
      </c>
      <c r="B64" s="1" t="s">
        <v>40</v>
      </c>
      <c r="C64" s="1" t="s">
        <v>6</v>
      </c>
      <c r="D64" s="4">
        <v>11.928787298310001</v>
      </c>
      <c r="E64" s="89" t="s">
        <v>65</v>
      </c>
      <c r="F64" s="84">
        <v>9.73442494771</v>
      </c>
      <c r="G64" s="85"/>
      <c r="H64" s="86"/>
      <c r="I64" s="85"/>
      <c r="J64" s="125"/>
      <c r="K64" s="177">
        <v>0.58905762445099996</v>
      </c>
      <c r="L64" s="62">
        <v>0</v>
      </c>
      <c r="M64" s="129"/>
      <c r="N64" s="76"/>
      <c r="O64" s="141">
        <v>2.1943623505400001</v>
      </c>
      <c r="P64" s="6">
        <v>9.7344249477599991</v>
      </c>
      <c r="Q64" s="16">
        <f t="shared" si="0"/>
        <v>2.1943623505500014</v>
      </c>
      <c r="R64" s="8">
        <v>5.0334900082800003</v>
      </c>
      <c r="S64" s="13">
        <v>5.1966163640499996</v>
      </c>
      <c r="T64" s="13">
        <v>0</v>
      </c>
      <c r="U64" s="13">
        <v>6.73217093426</v>
      </c>
      <c r="V64" s="56">
        <v>0</v>
      </c>
      <c r="W64" s="29">
        <f t="shared" si="4"/>
        <v>0</v>
      </c>
    </row>
    <row r="65" spans="1:24" x14ac:dyDescent="0.3">
      <c r="A65" s="1">
        <v>10421</v>
      </c>
      <c r="B65" s="1" t="s">
        <v>40</v>
      </c>
      <c r="C65" s="1" t="s">
        <v>6</v>
      </c>
      <c r="D65" s="4">
        <v>9.1502038096000007</v>
      </c>
      <c r="E65" s="89" t="s">
        <v>26</v>
      </c>
      <c r="F65" s="84">
        <v>5.0715360577600004</v>
      </c>
      <c r="G65" s="89" t="s">
        <v>65</v>
      </c>
      <c r="H65" s="84">
        <v>0.40989511548000002</v>
      </c>
      <c r="I65" s="87"/>
      <c r="J65" s="123"/>
      <c r="K65" s="177">
        <v>0</v>
      </c>
      <c r="L65" s="62">
        <v>0</v>
      </c>
      <c r="M65" s="129"/>
      <c r="N65" s="76"/>
      <c r="O65" s="141">
        <v>3.6687726362599999</v>
      </c>
      <c r="P65" s="6">
        <v>3.68418086417</v>
      </c>
      <c r="Q65" s="16">
        <f t="shared" si="0"/>
        <v>5.4660229454300007</v>
      </c>
      <c r="R65" s="8">
        <v>0</v>
      </c>
      <c r="S65" s="13">
        <v>7.2856262237999996</v>
      </c>
      <c r="T65" s="13">
        <v>3.0875254705999999E-2</v>
      </c>
      <c r="U65" s="13">
        <v>0</v>
      </c>
      <c r="V65" s="56">
        <v>0</v>
      </c>
      <c r="W65" s="29">
        <f t="shared" si="4"/>
        <v>1.8337023310940008</v>
      </c>
    </row>
    <row r="66" spans="1:24" x14ac:dyDescent="0.3">
      <c r="A66" s="1">
        <v>10422</v>
      </c>
      <c r="B66" s="1" t="s">
        <v>40</v>
      </c>
      <c r="C66" s="1" t="s">
        <v>6</v>
      </c>
      <c r="D66" s="4">
        <v>14.39973426105</v>
      </c>
      <c r="E66" s="89" t="s">
        <v>65</v>
      </c>
      <c r="F66" s="84">
        <v>14.39973426105</v>
      </c>
      <c r="G66" s="88"/>
      <c r="H66" s="87"/>
      <c r="I66" s="87"/>
      <c r="J66" s="123"/>
      <c r="K66" s="177">
        <v>8.0989568512699996</v>
      </c>
      <c r="L66" s="62">
        <v>0</v>
      </c>
      <c r="M66" s="129"/>
      <c r="N66" s="76"/>
      <c r="O66" s="144"/>
      <c r="P66" s="6">
        <v>0.36311442249699999</v>
      </c>
      <c r="Q66" s="16">
        <f t="shared" si="0"/>
        <v>14.036619838552999</v>
      </c>
      <c r="R66" s="8">
        <v>0</v>
      </c>
      <c r="S66" s="13">
        <v>7.4652479412700004</v>
      </c>
      <c r="T66" s="13">
        <v>6.9344863197600004</v>
      </c>
      <c r="U66" s="13">
        <v>0</v>
      </c>
      <c r="V66" s="56">
        <v>0</v>
      </c>
      <c r="W66" s="29">
        <f t="shared" si="4"/>
        <v>1.999822529796802E-11</v>
      </c>
    </row>
    <row r="67" spans="1:24" x14ac:dyDescent="0.3">
      <c r="A67" s="1">
        <v>10436</v>
      </c>
      <c r="B67" s="1" t="s">
        <v>40</v>
      </c>
      <c r="C67" s="1" t="s">
        <v>6</v>
      </c>
      <c r="D67" s="4">
        <v>19.771305198010001</v>
      </c>
      <c r="E67" s="89" t="s">
        <v>65</v>
      </c>
      <c r="F67" s="84">
        <v>19.771305198010001</v>
      </c>
      <c r="G67" s="88"/>
      <c r="H67" s="87"/>
      <c r="I67" s="87"/>
      <c r="J67" s="123"/>
      <c r="K67" s="177">
        <v>0</v>
      </c>
      <c r="L67" s="62">
        <v>0</v>
      </c>
      <c r="M67" s="129"/>
      <c r="N67" s="76"/>
      <c r="O67" s="144"/>
      <c r="P67" s="6">
        <v>11.9783148281</v>
      </c>
      <c r="Q67" s="16">
        <f t="shared" si="0"/>
        <v>7.7929903699100009</v>
      </c>
      <c r="R67" s="8">
        <v>0</v>
      </c>
      <c r="S67" s="13">
        <v>17.670274196699999</v>
      </c>
      <c r="T67" s="13">
        <v>0</v>
      </c>
      <c r="U67" s="13">
        <v>1.0658220195899999</v>
      </c>
      <c r="V67" s="56">
        <v>0</v>
      </c>
      <c r="W67" s="29">
        <f t="shared" si="4"/>
        <v>1.0352089817200003</v>
      </c>
    </row>
    <row r="68" spans="1:24" x14ac:dyDescent="0.3">
      <c r="A68" s="1">
        <v>11006</v>
      </c>
      <c r="B68" s="1" t="s">
        <v>40</v>
      </c>
      <c r="C68" s="1" t="s">
        <v>5</v>
      </c>
      <c r="D68" s="4">
        <v>21.593636981500001</v>
      </c>
      <c r="E68" s="89" t="s">
        <v>27</v>
      </c>
      <c r="F68" s="84">
        <v>17.3</v>
      </c>
      <c r="G68" s="89"/>
      <c r="H68" s="84"/>
      <c r="I68" s="89"/>
      <c r="J68" s="119"/>
      <c r="K68" s="177">
        <v>0.95115204475799997</v>
      </c>
      <c r="L68" s="62">
        <v>0</v>
      </c>
      <c r="M68" s="124"/>
      <c r="N68" s="74"/>
      <c r="O68" s="141">
        <v>4.2887479070700003</v>
      </c>
      <c r="P68" s="6">
        <v>17.304889084199999</v>
      </c>
      <c r="Q68" s="16">
        <f t="shared" ref="Q68:Q77" si="5">D68-P68</f>
        <v>4.2887478973000022</v>
      </c>
      <c r="R68" s="8">
        <v>0</v>
      </c>
      <c r="S68" s="13">
        <v>0</v>
      </c>
      <c r="T68" s="13">
        <v>12.8203056953</v>
      </c>
      <c r="U68" s="13">
        <v>8.5322766771600005</v>
      </c>
      <c r="V68" s="56">
        <v>0</v>
      </c>
      <c r="W68" s="29">
        <f t="shared" si="4"/>
        <v>0.24105460904000253</v>
      </c>
    </row>
    <row r="69" spans="1:24" x14ac:dyDescent="0.3">
      <c r="A69" s="1">
        <v>11152</v>
      </c>
      <c r="B69" s="1" t="s">
        <v>40</v>
      </c>
      <c r="C69" s="1" t="s">
        <v>4</v>
      </c>
      <c r="D69" s="4">
        <v>44.519219187209998</v>
      </c>
      <c r="E69" s="89" t="s">
        <v>26</v>
      </c>
      <c r="F69" s="84">
        <v>44.519219187209998</v>
      </c>
      <c r="G69" s="88"/>
      <c r="H69" s="87"/>
      <c r="I69" s="87"/>
      <c r="J69" s="123"/>
      <c r="K69" s="177">
        <v>0</v>
      </c>
      <c r="L69" s="62">
        <v>0</v>
      </c>
      <c r="M69" s="124"/>
      <c r="N69" s="74"/>
      <c r="O69" s="194"/>
      <c r="P69" s="6">
        <v>44.519219187200001</v>
      </c>
      <c r="Q69" s="16">
        <f t="shared" si="5"/>
        <v>9.9973362921446096E-12</v>
      </c>
      <c r="R69" s="8">
        <v>0</v>
      </c>
      <c r="S69" s="13">
        <v>35.112571255200002</v>
      </c>
      <c r="T69" s="13">
        <v>0</v>
      </c>
      <c r="U69" s="13">
        <v>0</v>
      </c>
      <c r="V69" s="56">
        <v>0</v>
      </c>
      <c r="W69" s="29">
        <f t="shared" si="4"/>
        <v>9.4066479320099958</v>
      </c>
    </row>
    <row r="70" spans="1:24" x14ac:dyDescent="0.3">
      <c r="A70" s="1">
        <v>11153</v>
      </c>
      <c r="B70" s="1" t="s">
        <v>40</v>
      </c>
      <c r="C70" s="1" t="s">
        <v>4</v>
      </c>
      <c r="D70" s="4">
        <v>24.34340666156</v>
      </c>
      <c r="E70" s="89" t="s">
        <v>10</v>
      </c>
      <c r="F70" s="84">
        <v>24.34340666156</v>
      </c>
      <c r="G70" s="88"/>
      <c r="H70" s="87"/>
      <c r="I70" s="87"/>
      <c r="J70" s="123"/>
      <c r="K70" s="177">
        <v>0</v>
      </c>
      <c r="L70" s="62">
        <v>0</v>
      </c>
      <c r="M70" s="124"/>
      <c r="N70" s="74"/>
      <c r="O70" s="194"/>
      <c r="P70" s="6">
        <v>24.3434066616</v>
      </c>
      <c r="Q70" s="16">
        <f t="shared" si="5"/>
        <v>-4.000000330961484E-11</v>
      </c>
      <c r="R70" s="8">
        <v>0</v>
      </c>
      <c r="S70" s="13">
        <v>7.0443648791199998</v>
      </c>
      <c r="T70" s="13">
        <v>7.35586671105</v>
      </c>
      <c r="U70" s="13">
        <v>2.5564385553700002</v>
      </c>
      <c r="V70" s="56">
        <v>0</v>
      </c>
      <c r="W70" s="29">
        <f t="shared" si="4"/>
        <v>7.3867365160200009</v>
      </c>
    </row>
    <row r="71" spans="1:24" x14ac:dyDescent="0.3">
      <c r="A71" s="1">
        <v>11154</v>
      </c>
      <c r="B71" s="1" t="s">
        <v>40</v>
      </c>
      <c r="C71" s="1" t="s">
        <v>4</v>
      </c>
      <c r="D71" s="4">
        <v>22.453477629769999</v>
      </c>
      <c r="E71" s="89" t="s">
        <v>26</v>
      </c>
      <c r="F71" s="84">
        <v>13.526338721149999</v>
      </c>
      <c r="G71" s="88"/>
      <c r="H71" s="87"/>
      <c r="I71" s="87"/>
      <c r="J71" s="123"/>
      <c r="K71" s="177">
        <v>0</v>
      </c>
      <c r="L71" s="62">
        <v>0</v>
      </c>
      <c r="M71" s="129"/>
      <c r="N71" s="76"/>
      <c r="O71" s="141">
        <v>8.9275368731100002</v>
      </c>
      <c r="P71" s="6">
        <v>13.5263387212</v>
      </c>
      <c r="Q71" s="16">
        <f t="shared" si="5"/>
        <v>8.927138908569999</v>
      </c>
      <c r="R71" s="8">
        <v>0</v>
      </c>
      <c r="S71" s="13">
        <v>16</v>
      </c>
      <c r="T71" s="13">
        <v>2</v>
      </c>
      <c r="U71" s="13">
        <v>0</v>
      </c>
      <c r="V71" s="55">
        <v>4.5</v>
      </c>
      <c r="W71" s="29">
        <f t="shared" si="4"/>
        <v>-4.6522370230000831E-2</v>
      </c>
    </row>
    <row r="72" spans="1:24" x14ac:dyDescent="0.3">
      <c r="A72" s="1">
        <v>11155</v>
      </c>
      <c r="B72" s="1" t="s">
        <v>40</v>
      </c>
      <c r="C72" s="1" t="s">
        <v>4</v>
      </c>
      <c r="D72" s="4">
        <v>7.6021951733700002</v>
      </c>
      <c r="E72" s="89" t="s">
        <v>307</v>
      </c>
      <c r="F72" s="84">
        <v>7.6021951733700002</v>
      </c>
      <c r="G72" s="89"/>
      <c r="H72" s="84"/>
      <c r="I72" s="84"/>
      <c r="J72" s="119"/>
      <c r="K72" s="177">
        <v>7.6021951733600002</v>
      </c>
      <c r="L72" s="62">
        <v>0</v>
      </c>
      <c r="M72" s="124"/>
      <c r="N72" s="74"/>
      <c r="O72" s="194"/>
      <c r="P72" s="6">
        <v>7.6021951733700002</v>
      </c>
      <c r="Q72" s="16">
        <f t="shared" si="5"/>
        <v>0</v>
      </c>
      <c r="R72" s="8">
        <v>0</v>
      </c>
      <c r="S72" s="13">
        <v>7.6021951733700002</v>
      </c>
      <c r="T72" s="13">
        <v>0</v>
      </c>
      <c r="U72" s="13">
        <v>0</v>
      </c>
      <c r="V72" s="56">
        <v>0</v>
      </c>
      <c r="W72" s="29">
        <f t="shared" si="4"/>
        <v>0</v>
      </c>
    </row>
    <row r="73" spans="1:24" x14ac:dyDescent="0.3">
      <c r="A73" s="1">
        <v>11156</v>
      </c>
      <c r="B73" s="1" t="s">
        <v>40</v>
      </c>
      <c r="C73" s="1" t="s">
        <v>4</v>
      </c>
      <c r="D73" s="4">
        <v>24.279770575699999</v>
      </c>
      <c r="E73" s="89" t="s">
        <v>37</v>
      </c>
      <c r="F73" s="84">
        <v>24.279770575699999</v>
      </c>
      <c r="G73" s="89"/>
      <c r="H73" s="84"/>
      <c r="I73" s="84"/>
      <c r="J73" s="119"/>
      <c r="K73" s="177">
        <v>0</v>
      </c>
      <c r="L73" s="62">
        <v>0</v>
      </c>
      <c r="M73" s="129"/>
      <c r="N73" s="76"/>
      <c r="O73" s="144"/>
      <c r="P73" s="6">
        <v>5.8574382744499998</v>
      </c>
      <c r="Q73" s="16">
        <f t="shared" si="5"/>
        <v>18.422332301249998</v>
      </c>
      <c r="R73" s="8">
        <v>0</v>
      </c>
      <c r="S73" s="13">
        <v>9.7429202792900007</v>
      </c>
      <c r="T73" s="13">
        <v>5.6054603371000002</v>
      </c>
      <c r="U73" s="13">
        <v>4.2896376998500001</v>
      </c>
      <c r="V73" s="56">
        <v>0</v>
      </c>
      <c r="W73" s="29">
        <f t="shared" si="4"/>
        <v>4.6417522594599987</v>
      </c>
    </row>
    <row r="74" spans="1:24" x14ac:dyDescent="0.3">
      <c r="A74" s="1">
        <v>11157</v>
      </c>
      <c r="B74" s="1" t="s">
        <v>40</v>
      </c>
      <c r="C74" s="1" t="s">
        <v>4</v>
      </c>
      <c r="D74" s="4">
        <v>40.515059584169997</v>
      </c>
      <c r="E74" s="89" t="s">
        <v>307</v>
      </c>
      <c r="F74" s="84">
        <v>40.515059584169997</v>
      </c>
      <c r="G74" s="88"/>
      <c r="H74" s="87"/>
      <c r="I74" s="87"/>
      <c r="J74" s="123"/>
      <c r="K74" s="177">
        <v>0</v>
      </c>
      <c r="L74" s="62">
        <v>2.6663905944400002</v>
      </c>
      <c r="M74" s="124"/>
      <c r="N74" s="74"/>
      <c r="O74" s="194"/>
      <c r="P74" s="6">
        <v>40.515059584200003</v>
      </c>
      <c r="Q74" s="16">
        <f t="shared" si="5"/>
        <v>-3.0006219731149031E-11</v>
      </c>
      <c r="R74" s="8">
        <v>0</v>
      </c>
      <c r="S74" s="13">
        <v>0</v>
      </c>
      <c r="T74" s="13">
        <v>0</v>
      </c>
      <c r="U74" s="13">
        <v>0</v>
      </c>
      <c r="V74" s="56">
        <v>0</v>
      </c>
      <c r="W74" s="29">
        <f t="shared" si="4"/>
        <v>40.515059584169997</v>
      </c>
    </row>
    <row r="75" spans="1:24" x14ac:dyDescent="0.3">
      <c r="A75" s="1">
        <v>11158</v>
      </c>
      <c r="B75" s="1" t="s">
        <v>40</v>
      </c>
      <c r="C75" s="1" t="s">
        <v>4</v>
      </c>
      <c r="D75" s="4">
        <v>28.433802667910001</v>
      </c>
      <c r="E75" s="89" t="s">
        <v>26</v>
      </c>
      <c r="F75" s="84">
        <v>28.433802667919998</v>
      </c>
      <c r="G75" s="88"/>
      <c r="H75" s="87"/>
      <c r="I75" s="87"/>
      <c r="J75" s="123"/>
      <c r="K75" s="177">
        <v>0</v>
      </c>
      <c r="L75" s="62">
        <v>0</v>
      </c>
      <c r="M75" s="129"/>
      <c r="N75" s="76"/>
      <c r="O75" s="144"/>
      <c r="P75" s="6">
        <v>23.3468316063</v>
      </c>
      <c r="Q75" s="16">
        <f t="shared" si="5"/>
        <v>5.0869710616100008</v>
      </c>
      <c r="R75" s="8">
        <v>0</v>
      </c>
      <c r="S75" s="13">
        <v>4.6237785354199996</v>
      </c>
      <c r="T75" s="13">
        <v>0.16322354063</v>
      </c>
      <c r="U75" s="13">
        <v>21.4091116534</v>
      </c>
      <c r="V75" s="56">
        <v>0</v>
      </c>
      <c r="W75" s="29">
        <f t="shared" si="4"/>
        <v>2.2376889384600034</v>
      </c>
    </row>
    <row r="76" spans="1:24" x14ac:dyDescent="0.3">
      <c r="A76" s="1">
        <v>11159</v>
      </c>
      <c r="B76" s="1" t="s">
        <v>40</v>
      </c>
      <c r="C76" s="1" t="s">
        <v>4</v>
      </c>
      <c r="D76" s="4">
        <v>15.12539239574</v>
      </c>
      <c r="E76" s="89" t="s">
        <v>26</v>
      </c>
      <c r="F76" s="84">
        <v>0.77308272331000005</v>
      </c>
      <c r="G76" s="89" t="s">
        <v>307</v>
      </c>
      <c r="H76" s="84">
        <v>10.199999999999999</v>
      </c>
      <c r="I76" s="89" t="s">
        <v>77</v>
      </c>
      <c r="J76" s="119">
        <v>4.2</v>
      </c>
      <c r="K76" s="177">
        <v>0</v>
      </c>
      <c r="L76" s="62">
        <v>0</v>
      </c>
      <c r="M76" s="129"/>
      <c r="N76" s="76"/>
      <c r="O76" s="144"/>
      <c r="P76" s="6">
        <v>15.1253923957</v>
      </c>
      <c r="Q76" s="16">
        <f t="shared" si="5"/>
        <v>4.000000330961484E-11</v>
      </c>
      <c r="R76" s="8">
        <v>0</v>
      </c>
      <c r="S76" s="13">
        <v>0.88511190574700005</v>
      </c>
      <c r="T76" s="13">
        <v>0.33575412328100002</v>
      </c>
      <c r="U76" s="13">
        <v>3.8164686686699998</v>
      </c>
      <c r="V76" s="56">
        <v>0</v>
      </c>
      <c r="W76" s="29">
        <f t="shared" si="4"/>
        <v>10.088057698042</v>
      </c>
    </row>
    <row r="77" spans="1:24" x14ac:dyDescent="0.3">
      <c r="A77" s="1">
        <v>11163</v>
      </c>
      <c r="B77" s="1" t="s">
        <v>40</v>
      </c>
      <c r="C77" s="1" t="s">
        <v>4</v>
      </c>
      <c r="D77" s="4">
        <v>51.569253563910003</v>
      </c>
      <c r="E77" s="89" t="s">
        <v>26</v>
      </c>
      <c r="F77" s="84">
        <v>51.569253563899998</v>
      </c>
      <c r="G77" s="85"/>
      <c r="H77" s="86"/>
      <c r="I77" s="85"/>
      <c r="J77" s="125"/>
      <c r="K77" s="177">
        <v>13.533980736</v>
      </c>
      <c r="L77" s="62">
        <v>0</v>
      </c>
      <c r="M77" s="129"/>
      <c r="N77" s="76"/>
      <c r="O77" s="144"/>
      <c r="P77" s="6">
        <v>51.569253563899998</v>
      </c>
      <c r="Q77" s="16">
        <f t="shared" si="5"/>
        <v>1.0004441719502211E-11</v>
      </c>
      <c r="R77" s="8">
        <v>36.5074872434</v>
      </c>
      <c r="S77" s="13">
        <v>1.6697859901200001</v>
      </c>
      <c r="T77" s="13">
        <v>0.48405292841600001</v>
      </c>
      <c r="U77" s="13">
        <v>30.153540642500001</v>
      </c>
      <c r="V77" s="56">
        <v>0</v>
      </c>
      <c r="W77" s="29">
        <f t="shared" si="4"/>
        <v>19.261874002874002</v>
      </c>
    </row>
    <row r="78" spans="1:24" s="70" customFormat="1" x14ac:dyDescent="0.3">
      <c r="A78" s="1">
        <v>21793</v>
      </c>
      <c r="B78" s="1" t="s">
        <v>40</v>
      </c>
      <c r="C78" s="1" t="s">
        <v>3</v>
      </c>
      <c r="D78" s="4">
        <v>31.512579826380001</v>
      </c>
      <c r="E78" s="89" t="s">
        <v>65</v>
      </c>
      <c r="F78" s="84">
        <v>31.5125798264</v>
      </c>
      <c r="G78" s="90"/>
      <c r="H78" s="91"/>
      <c r="I78" s="91"/>
      <c r="J78" s="117"/>
      <c r="K78" s="177">
        <v>16.934103539799999</v>
      </c>
      <c r="L78" s="62">
        <v>0</v>
      </c>
      <c r="M78" s="120"/>
      <c r="N78" s="73"/>
      <c r="O78" s="154"/>
      <c r="P78" s="6">
        <v>31.5125798264</v>
      </c>
      <c r="Q78" s="16">
        <f>D78-P78</f>
        <v>-1.999822529796802E-11</v>
      </c>
      <c r="R78" s="8">
        <v>6.1604871111100001</v>
      </c>
      <c r="S78" s="13">
        <v>0</v>
      </c>
      <c r="T78" s="13">
        <v>0</v>
      </c>
      <c r="U78" s="13">
        <v>9.2886566822599992</v>
      </c>
      <c r="V78" s="56">
        <v>0</v>
      </c>
      <c r="W78" s="29">
        <f t="shared" si="4"/>
        <v>22.22392314412</v>
      </c>
    </row>
    <row r="79" spans="1:24" s="51" customFormat="1" x14ac:dyDescent="0.3">
      <c r="A79" s="68" t="s">
        <v>67</v>
      </c>
      <c r="B79" s="68" t="s">
        <v>40</v>
      </c>
      <c r="C79" s="68"/>
      <c r="D79" s="93">
        <f>SUM(D43:D77)</f>
        <v>939.18827258834006</v>
      </c>
      <c r="E79" s="93"/>
      <c r="F79" s="93">
        <f t="shared" ref="F79:Q79" si="6">SUM(F43:F77)</f>
        <v>807.2724763719599</v>
      </c>
      <c r="G79" s="93"/>
      <c r="H79" s="93">
        <f t="shared" si="6"/>
        <v>55.359758763679991</v>
      </c>
      <c r="I79" s="93"/>
      <c r="J79" s="93">
        <f t="shared" si="6"/>
        <v>4.2</v>
      </c>
      <c r="K79" s="93">
        <f>SUM(K43:K78)</f>
        <v>104.01632918689901</v>
      </c>
      <c r="L79" s="93">
        <f t="shared" si="6"/>
        <v>130.02387682685998</v>
      </c>
      <c r="M79" s="93"/>
      <c r="N79" s="93">
        <f t="shared" si="6"/>
        <v>0</v>
      </c>
      <c r="O79" s="93">
        <f t="shared" si="6"/>
        <v>72.437476138424302</v>
      </c>
      <c r="P79" s="66">
        <f t="shared" si="6"/>
        <v>759.70268182772031</v>
      </c>
      <c r="Q79" s="111">
        <f t="shared" si="6"/>
        <v>179.48559076061977</v>
      </c>
      <c r="R79" s="93">
        <f t="shared" ref="R79:W79" si="7">SUM(R43:R77)</f>
        <v>254.70700102808999</v>
      </c>
      <c r="S79" s="93">
        <f t="shared" si="7"/>
        <v>271.42574739669703</v>
      </c>
      <c r="T79" s="93">
        <f t="shared" si="7"/>
        <v>114.08920776634902</v>
      </c>
      <c r="U79" s="93">
        <f t="shared" si="7"/>
        <v>135.47502933075583</v>
      </c>
      <c r="V79" s="93">
        <f t="shared" si="7"/>
        <v>4.5</v>
      </c>
      <c r="W79" s="93">
        <f t="shared" si="7"/>
        <v>413.69828809453816</v>
      </c>
      <c r="X79" s="93"/>
    </row>
    <row r="80" spans="1:24" x14ac:dyDescent="0.3">
      <c r="A80" s="49"/>
      <c r="B80" s="49"/>
      <c r="C80" s="49"/>
      <c r="D80" s="94"/>
      <c r="E80" s="85"/>
      <c r="F80" s="86"/>
      <c r="G80" s="88"/>
      <c r="H80" s="87"/>
      <c r="I80" s="87"/>
      <c r="J80" s="123"/>
      <c r="K80" s="140"/>
      <c r="L80" s="130"/>
      <c r="M80" s="129"/>
      <c r="N80" s="76"/>
      <c r="O80" s="144"/>
      <c r="P80" s="6"/>
      <c r="Q80" s="165"/>
      <c r="R80" s="106"/>
      <c r="S80" s="13"/>
      <c r="T80" s="103"/>
      <c r="U80" s="103"/>
      <c r="V80" s="104"/>
      <c r="W80" s="29"/>
    </row>
    <row r="81" spans="1:23" x14ac:dyDescent="0.3">
      <c r="A81" s="49"/>
      <c r="B81" s="49"/>
      <c r="C81" s="49"/>
      <c r="D81" s="94"/>
      <c r="E81" s="85"/>
      <c r="F81" s="86"/>
      <c r="G81" s="88"/>
      <c r="H81" s="87"/>
      <c r="I81" s="87"/>
      <c r="J81" s="123"/>
      <c r="K81" s="140"/>
      <c r="L81" s="130"/>
      <c r="M81" s="129"/>
      <c r="N81" s="76"/>
      <c r="O81" s="144"/>
      <c r="P81" s="6"/>
      <c r="Q81" s="16"/>
      <c r="R81" s="9"/>
      <c r="S81" s="110"/>
      <c r="T81" s="103"/>
      <c r="U81" s="103"/>
      <c r="V81" s="104"/>
      <c r="W81" s="29"/>
    </row>
    <row r="82" spans="1:23" x14ac:dyDescent="0.3">
      <c r="A82" s="49"/>
      <c r="B82" s="49"/>
      <c r="C82" s="49"/>
      <c r="D82" s="94"/>
      <c r="E82" s="85"/>
      <c r="F82" s="86"/>
      <c r="G82" s="89"/>
      <c r="H82" s="84"/>
      <c r="I82" s="84"/>
      <c r="J82" s="119"/>
      <c r="K82" s="140"/>
      <c r="L82" s="131"/>
      <c r="M82" s="129"/>
      <c r="N82" s="76"/>
      <c r="O82" s="144"/>
      <c r="P82" s="6"/>
      <c r="Q82" s="165"/>
      <c r="R82" s="8"/>
      <c r="S82" s="110"/>
      <c r="T82" s="103"/>
      <c r="U82" s="103"/>
      <c r="V82" s="104"/>
      <c r="W82" s="29"/>
    </row>
    <row r="83" spans="1:23" x14ac:dyDescent="0.3">
      <c r="A83" s="49"/>
      <c r="B83" s="49"/>
      <c r="C83" s="49"/>
      <c r="D83" s="94"/>
      <c r="E83" s="85"/>
      <c r="F83" s="86"/>
      <c r="G83" s="89"/>
      <c r="H83" s="84"/>
      <c r="I83" s="84"/>
      <c r="J83" s="119"/>
      <c r="K83" s="140"/>
      <c r="L83" s="131"/>
      <c r="M83" s="129"/>
      <c r="N83" s="76"/>
      <c r="O83" s="144"/>
      <c r="P83" s="6"/>
      <c r="Q83" s="16"/>
      <c r="R83" s="8"/>
      <c r="S83" s="13"/>
      <c r="T83" s="103"/>
      <c r="U83" s="103"/>
      <c r="V83" s="104"/>
      <c r="W83" s="29"/>
    </row>
    <row r="84" spans="1:23" x14ac:dyDescent="0.3">
      <c r="A84" s="49"/>
      <c r="B84" s="49"/>
      <c r="C84" s="49"/>
      <c r="D84" s="94"/>
      <c r="E84" s="85"/>
      <c r="F84" s="86"/>
      <c r="G84" s="88"/>
      <c r="H84" s="87"/>
      <c r="I84" s="87"/>
      <c r="J84" s="123"/>
      <c r="K84" s="140"/>
      <c r="L84" s="130"/>
      <c r="M84" s="124"/>
      <c r="N84" s="74"/>
      <c r="O84" s="194"/>
      <c r="P84" s="6"/>
      <c r="Q84" s="16"/>
      <c r="R84" s="8"/>
      <c r="S84" s="110"/>
      <c r="T84" s="103"/>
      <c r="U84" s="103"/>
      <c r="V84" s="104"/>
      <c r="W84" s="29"/>
    </row>
    <row r="85" spans="1:23" x14ac:dyDescent="0.3">
      <c r="A85" s="49"/>
      <c r="B85" s="49"/>
      <c r="C85" s="49"/>
      <c r="D85" s="94"/>
      <c r="G85" s="88"/>
      <c r="H85" s="87"/>
      <c r="I85" s="87"/>
      <c r="J85" s="123"/>
      <c r="K85" s="140"/>
      <c r="L85" s="130"/>
      <c r="M85" s="129"/>
      <c r="N85" s="76"/>
      <c r="O85" s="194"/>
      <c r="P85" s="6"/>
      <c r="Q85" s="165"/>
      <c r="R85" s="8"/>
      <c r="S85" s="110"/>
      <c r="T85" s="103"/>
      <c r="U85" s="103"/>
      <c r="V85" s="104"/>
      <c r="W85" s="29"/>
    </row>
    <row r="86" spans="1:23" x14ac:dyDescent="0.3">
      <c r="A86" s="49"/>
      <c r="B86" s="49"/>
      <c r="C86" s="49"/>
      <c r="D86" s="94"/>
      <c r="E86" s="85"/>
      <c r="F86" s="86"/>
      <c r="G86" s="88"/>
      <c r="H86" s="87"/>
      <c r="I86" s="87"/>
      <c r="J86" s="123"/>
      <c r="K86" s="140"/>
      <c r="L86" s="130"/>
      <c r="M86" s="124"/>
      <c r="N86" s="74"/>
      <c r="O86" s="194"/>
      <c r="P86" s="6"/>
      <c r="Q86" s="16"/>
      <c r="R86" s="106"/>
      <c r="S86" s="110"/>
      <c r="T86" s="103"/>
      <c r="U86" s="103"/>
      <c r="V86" s="104"/>
      <c r="W86" s="29"/>
    </row>
    <row r="87" spans="1:23" x14ac:dyDescent="0.3">
      <c r="A87" s="49"/>
      <c r="B87" s="49"/>
      <c r="C87" s="49"/>
      <c r="D87" s="94"/>
      <c r="G87" s="88"/>
      <c r="H87" s="87"/>
      <c r="I87" s="87"/>
      <c r="J87" s="123"/>
      <c r="K87" s="140"/>
      <c r="L87" s="130"/>
      <c r="M87" s="124"/>
      <c r="N87" s="74"/>
      <c r="O87" s="194"/>
      <c r="P87" s="6"/>
      <c r="Q87" s="165"/>
      <c r="R87" s="106"/>
      <c r="S87" s="110"/>
      <c r="T87" s="103"/>
      <c r="U87" s="103"/>
      <c r="V87" s="104"/>
      <c r="W87" s="29"/>
    </row>
    <row r="88" spans="1:23" x14ac:dyDescent="0.3">
      <c r="A88" s="49"/>
      <c r="B88" s="49"/>
      <c r="C88" s="49"/>
      <c r="D88" s="94"/>
      <c r="G88" s="88"/>
      <c r="H88" s="87"/>
      <c r="I88" s="87"/>
      <c r="J88" s="123"/>
      <c r="K88" s="140"/>
      <c r="L88" s="130"/>
      <c r="M88" s="129"/>
      <c r="N88" s="76"/>
      <c r="O88" s="144"/>
      <c r="P88" s="6"/>
      <c r="Q88" s="16"/>
      <c r="R88" s="9"/>
      <c r="S88" s="13"/>
      <c r="T88" s="103"/>
      <c r="U88" s="103"/>
      <c r="V88" s="104"/>
      <c r="W88" s="29"/>
    </row>
    <row r="89" spans="1:23" x14ac:dyDescent="0.3">
      <c r="A89" s="49"/>
      <c r="B89" s="49"/>
      <c r="C89" s="49"/>
      <c r="D89" s="94"/>
      <c r="E89" s="85"/>
      <c r="F89" s="86"/>
      <c r="G89" s="88"/>
      <c r="H89" s="87"/>
      <c r="I89" s="87"/>
      <c r="J89" s="123"/>
      <c r="K89" s="140"/>
      <c r="L89" s="130"/>
      <c r="M89" s="129"/>
      <c r="N89" s="76"/>
      <c r="O89" s="144"/>
      <c r="P89" s="6"/>
      <c r="Q89" s="16"/>
      <c r="R89" s="8"/>
      <c r="S89" s="110"/>
      <c r="T89" s="103"/>
      <c r="U89" s="103"/>
      <c r="V89" s="104"/>
      <c r="W89" s="29"/>
    </row>
    <row r="90" spans="1:23" x14ac:dyDescent="0.3">
      <c r="A90" s="49"/>
      <c r="B90" s="49"/>
      <c r="C90" s="49"/>
      <c r="D90" s="94"/>
      <c r="E90" s="85"/>
      <c r="F90" s="86"/>
      <c r="G90" s="88"/>
      <c r="H90" s="87"/>
      <c r="I90" s="87"/>
      <c r="J90" s="123"/>
      <c r="K90" s="140"/>
      <c r="L90" s="130"/>
      <c r="M90" s="129"/>
      <c r="N90" s="76"/>
      <c r="O90" s="144"/>
      <c r="P90" s="6"/>
      <c r="Q90" s="16"/>
      <c r="R90" s="9"/>
      <c r="S90" s="13"/>
      <c r="T90" s="103"/>
      <c r="U90" s="103"/>
      <c r="V90" s="104"/>
      <c r="W90" s="29"/>
    </row>
    <row r="91" spans="1:23" x14ac:dyDescent="0.3">
      <c r="A91" s="49"/>
      <c r="B91" s="49"/>
      <c r="C91" s="49"/>
      <c r="D91" s="94"/>
      <c r="E91" s="85"/>
      <c r="F91" s="86"/>
      <c r="G91" s="89"/>
      <c r="H91" s="84"/>
      <c r="I91" s="84"/>
      <c r="J91" s="119"/>
      <c r="K91" s="140"/>
      <c r="L91" s="131"/>
      <c r="M91" s="129"/>
      <c r="N91" s="76"/>
      <c r="O91" s="144"/>
      <c r="P91" s="6"/>
      <c r="Q91" s="16"/>
      <c r="R91" s="106"/>
      <c r="S91" s="13"/>
      <c r="T91" s="103"/>
      <c r="U91" s="103"/>
      <c r="V91" s="104"/>
      <c r="W91" s="29"/>
    </row>
    <row r="92" spans="1:23" x14ac:dyDescent="0.3">
      <c r="A92" s="49"/>
      <c r="B92" s="49"/>
      <c r="C92" s="49"/>
      <c r="D92" s="94"/>
      <c r="E92" s="85"/>
      <c r="F92" s="86"/>
      <c r="G92" s="88"/>
      <c r="H92" s="87"/>
      <c r="I92" s="87"/>
      <c r="J92" s="123"/>
      <c r="K92" s="140"/>
      <c r="L92" s="130"/>
      <c r="M92" s="129"/>
      <c r="N92" s="76"/>
      <c r="O92" s="144"/>
      <c r="P92" s="6"/>
      <c r="Q92" s="16"/>
      <c r="R92" s="8"/>
      <c r="S92" s="110"/>
      <c r="T92" s="103"/>
      <c r="U92" s="103"/>
      <c r="V92" s="104"/>
      <c r="W92" s="29"/>
    </row>
    <row r="93" spans="1:23" x14ac:dyDescent="0.3">
      <c r="A93" s="49"/>
      <c r="B93" s="49"/>
      <c r="C93" s="49"/>
      <c r="D93" s="94"/>
      <c r="E93" s="85"/>
      <c r="F93" s="86"/>
      <c r="G93" s="88"/>
      <c r="H93" s="87"/>
      <c r="I93" s="87"/>
      <c r="J93" s="123"/>
      <c r="K93" s="140"/>
      <c r="L93" s="130"/>
      <c r="M93" s="129"/>
      <c r="N93" s="76"/>
      <c r="O93" s="144"/>
      <c r="P93" s="6"/>
      <c r="Q93" s="16"/>
      <c r="R93" s="8"/>
      <c r="S93" s="13"/>
      <c r="T93" s="103"/>
      <c r="U93" s="103"/>
      <c r="V93" s="104"/>
      <c r="W93" s="29"/>
    </row>
    <row r="94" spans="1:23" x14ac:dyDescent="0.3">
      <c r="A94" s="49"/>
      <c r="B94" s="49"/>
      <c r="C94" s="49"/>
      <c r="D94" s="94"/>
      <c r="E94" s="85"/>
      <c r="F94" s="86"/>
      <c r="G94" s="88"/>
      <c r="H94" s="87"/>
      <c r="I94" s="87"/>
      <c r="J94" s="123"/>
      <c r="K94" s="140"/>
      <c r="L94" s="130"/>
      <c r="M94" s="129"/>
      <c r="N94" s="76"/>
      <c r="O94" s="144"/>
      <c r="P94" s="6"/>
      <c r="Q94" s="16"/>
      <c r="R94" s="9"/>
      <c r="S94" s="110"/>
      <c r="T94" s="103"/>
      <c r="U94" s="103"/>
      <c r="V94" s="104"/>
      <c r="W94" s="29"/>
    </row>
    <row r="95" spans="1:23" x14ac:dyDescent="0.3">
      <c r="A95" s="49"/>
      <c r="B95" s="49"/>
      <c r="C95" s="49"/>
      <c r="D95" s="94"/>
      <c r="E95" s="85"/>
      <c r="F95" s="86"/>
      <c r="G95" s="88"/>
      <c r="H95" s="87"/>
      <c r="I95" s="87"/>
      <c r="J95" s="123"/>
      <c r="K95" s="140"/>
      <c r="L95" s="130"/>
      <c r="M95" s="129"/>
      <c r="N95" s="76"/>
      <c r="O95" s="144"/>
      <c r="P95" s="6"/>
      <c r="Q95" s="16"/>
      <c r="R95" s="8"/>
      <c r="S95" s="13"/>
      <c r="T95" s="103"/>
      <c r="U95" s="103"/>
      <c r="V95" s="104"/>
      <c r="W95" s="29"/>
    </row>
    <row r="96" spans="1:23" x14ac:dyDescent="0.3">
      <c r="A96" s="49"/>
      <c r="B96" s="49"/>
      <c r="C96" s="49"/>
      <c r="D96" s="94"/>
      <c r="E96" s="85"/>
      <c r="F96" s="86"/>
      <c r="G96" s="88"/>
      <c r="H96" s="87"/>
      <c r="I96" s="87"/>
      <c r="J96" s="123"/>
      <c r="K96" s="140"/>
      <c r="L96" s="130"/>
      <c r="M96" s="129"/>
      <c r="N96" s="76"/>
      <c r="O96" s="144"/>
      <c r="P96" s="6"/>
      <c r="Q96" s="16"/>
      <c r="R96" s="9"/>
      <c r="S96" s="13"/>
      <c r="T96" s="103"/>
      <c r="U96" s="103"/>
      <c r="V96" s="104"/>
      <c r="W96" s="29"/>
    </row>
    <row r="97" spans="1:23" x14ac:dyDescent="0.3">
      <c r="A97" s="49"/>
      <c r="B97" s="49"/>
      <c r="C97" s="49"/>
      <c r="D97" s="94"/>
      <c r="E97" s="85"/>
      <c r="F97" s="86"/>
      <c r="G97" s="88"/>
      <c r="H97" s="87"/>
      <c r="I97" s="87"/>
      <c r="J97" s="123"/>
      <c r="K97" s="140"/>
      <c r="L97" s="130"/>
      <c r="M97" s="124"/>
      <c r="N97" s="74"/>
      <c r="O97" s="194"/>
      <c r="P97" s="6"/>
      <c r="Q97" s="16"/>
      <c r="R97" s="106"/>
      <c r="S97" s="110"/>
      <c r="T97" s="103"/>
      <c r="U97" s="103"/>
      <c r="V97" s="104"/>
      <c r="W97" s="29"/>
    </row>
    <row r="98" spans="1:23" x14ac:dyDescent="0.3">
      <c r="A98" s="49"/>
      <c r="B98" s="49"/>
      <c r="C98" s="49"/>
      <c r="D98" s="94"/>
      <c r="E98" s="89"/>
      <c r="F98" s="84"/>
      <c r="G98" s="89"/>
      <c r="H98" s="84"/>
      <c r="I98" s="84"/>
      <c r="J98" s="119"/>
      <c r="K98" s="140"/>
      <c r="L98" s="131"/>
      <c r="M98" s="129"/>
      <c r="N98" s="76"/>
      <c r="O98" s="144"/>
      <c r="P98" s="6"/>
      <c r="Q98" s="16"/>
      <c r="R98" s="8"/>
      <c r="S98" s="110"/>
      <c r="T98" s="103"/>
      <c r="U98" s="103"/>
      <c r="V98" s="104"/>
      <c r="W98" s="29"/>
    </row>
    <row r="99" spans="1:23" x14ac:dyDescent="0.3">
      <c r="A99" s="49"/>
      <c r="B99" s="49"/>
      <c r="C99" s="49"/>
      <c r="D99" s="94"/>
      <c r="E99" s="85"/>
      <c r="F99" s="86"/>
      <c r="G99" s="88"/>
      <c r="H99" s="87"/>
      <c r="I99" s="87"/>
      <c r="J99" s="123"/>
      <c r="K99" s="140"/>
      <c r="L99" s="130"/>
      <c r="M99" s="129"/>
      <c r="N99" s="76"/>
      <c r="O99" s="144"/>
      <c r="P99" s="6"/>
      <c r="Q99" s="165"/>
      <c r="R99" s="8"/>
      <c r="S99" s="13"/>
      <c r="T99" s="103"/>
      <c r="U99" s="103"/>
      <c r="V99" s="104"/>
      <c r="W99" s="29"/>
    </row>
    <row r="100" spans="1:23" x14ac:dyDescent="0.3">
      <c r="A100" s="49"/>
      <c r="B100" s="49"/>
      <c r="C100" s="49"/>
      <c r="D100" s="94"/>
      <c r="E100" s="85"/>
      <c r="F100" s="86"/>
      <c r="G100" s="88"/>
      <c r="H100" s="87"/>
      <c r="I100" s="87"/>
      <c r="J100" s="123"/>
      <c r="K100" s="140"/>
      <c r="L100" s="130"/>
      <c r="M100" s="124"/>
      <c r="N100" s="74"/>
      <c r="O100" s="194"/>
      <c r="P100" s="6"/>
      <c r="Q100" s="16"/>
      <c r="R100" s="8"/>
      <c r="S100" s="13"/>
      <c r="T100" s="103"/>
      <c r="U100" s="103"/>
      <c r="V100" s="104"/>
      <c r="W100" s="29"/>
    </row>
    <row r="101" spans="1:23" x14ac:dyDescent="0.3">
      <c r="A101" s="49"/>
      <c r="B101" s="49"/>
      <c r="C101" s="49"/>
      <c r="D101" s="94"/>
      <c r="E101" s="89"/>
      <c r="F101" s="84"/>
      <c r="G101" s="88"/>
      <c r="H101" s="87"/>
      <c r="I101" s="87"/>
      <c r="J101" s="123"/>
      <c r="K101" s="140"/>
      <c r="L101" s="130"/>
      <c r="M101" s="124"/>
      <c r="N101" s="74"/>
      <c r="O101" s="194"/>
      <c r="P101" s="6"/>
      <c r="Q101" s="16"/>
      <c r="R101" s="106"/>
      <c r="S101" s="110"/>
      <c r="T101" s="103"/>
      <c r="U101" s="103"/>
      <c r="V101" s="104"/>
      <c r="W101" s="29"/>
    </row>
    <row r="102" spans="1:23" x14ac:dyDescent="0.3">
      <c r="A102" s="49"/>
      <c r="B102" s="49"/>
      <c r="C102" s="49"/>
      <c r="D102" s="94"/>
      <c r="E102" s="89"/>
      <c r="F102" s="84"/>
      <c r="G102" s="88"/>
      <c r="H102" s="87"/>
      <c r="I102" s="87"/>
      <c r="J102" s="123"/>
      <c r="K102" s="140"/>
      <c r="L102" s="130"/>
      <c r="M102" s="124"/>
      <c r="N102" s="74"/>
      <c r="O102" s="194"/>
      <c r="P102" s="6"/>
      <c r="Q102" s="16"/>
      <c r="R102" s="8"/>
      <c r="S102" s="110"/>
      <c r="T102" s="103"/>
      <c r="U102" s="103"/>
      <c r="V102" s="104"/>
      <c r="W102" s="29"/>
    </row>
    <row r="103" spans="1:23" x14ac:dyDescent="0.3">
      <c r="A103" s="49"/>
      <c r="B103" s="49"/>
      <c r="C103" s="49"/>
      <c r="D103" s="94"/>
      <c r="E103" s="89"/>
      <c r="F103" s="84"/>
      <c r="G103" s="88"/>
      <c r="H103" s="87"/>
      <c r="I103" s="87"/>
      <c r="J103" s="123"/>
      <c r="K103" s="140"/>
      <c r="L103" s="130"/>
      <c r="M103" s="124"/>
      <c r="N103" s="74"/>
      <c r="O103" s="194"/>
      <c r="P103" s="6"/>
      <c r="Q103" s="16"/>
      <c r="R103" s="8"/>
      <c r="S103" s="110"/>
      <c r="T103" s="103"/>
      <c r="U103" s="103"/>
      <c r="V103" s="104"/>
      <c r="W103" s="29"/>
    </row>
    <row r="104" spans="1:23" x14ac:dyDescent="0.3">
      <c r="A104" s="49"/>
      <c r="B104" s="49"/>
      <c r="C104" s="49"/>
      <c r="D104" s="94"/>
      <c r="E104" s="89"/>
      <c r="F104" s="84"/>
      <c r="G104" s="88"/>
      <c r="H104" s="87"/>
      <c r="I104" s="87"/>
      <c r="J104" s="123"/>
      <c r="K104" s="140"/>
      <c r="L104" s="130"/>
      <c r="M104" s="124"/>
      <c r="N104" s="74"/>
      <c r="O104" s="194"/>
      <c r="P104" s="6"/>
      <c r="Q104" s="16"/>
      <c r="R104" s="8"/>
      <c r="S104" s="13"/>
      <c r="T104" s="103"/>
      <c r="U104" s="103"/>
      <c r="V104" s="104"/>
      <c r="W104" s="29"/>
    </row>
    <row r="105" spans="1:23" x14ac:dyDescent="0.3">
      <c r="A105" s="49"/>
      <c r="B105" s="49"/>
      <c r="C105" s="49"/>
      <c r="D105" s="94"/>
      <c r="E105" s="89"/>
      <c r="F105" s="84"/>
      <c r="G105" s="88"/>
      <c r="H105" s="87"/>
      <c r="I105" s="87"/>
      <c r="J105" s="123"/>
      <c r="K105" s="140"/>
      <c r="L105" s="130"/>
      <c r="M105" s="129"/>
      <c r="N105" s="76"/>
      <c r="O105" s="144"/>
      <c r="P105" s="6"/>
      <c r="Q105" s="165"/>
      <c r="R105" s="8"/>
      <c r="S105" s="13"/>
      <c r="T105" s="103"/>
      <c r="U105" s="103"/>
      <c r="V105" s="104"/>
      <c r="W105" s="29"/>
    </row>
    <row r="106" spans="1:23" x14ac:dyDescent="0.3">
      <c r="A106" s="49"/>
      <c r="B106" s="49"/>
      <c r="C106" s="49"/>
      <c r="D106" s="94"/>
      <c r="E106" s="85"/>
      <c r="F106" s="86"/>
      <c r="G106" s="88"/>
      <c r="H106" s="87"/>
      <c r="I106" s="87"/>
      <c r="J106" s="123"/>
      <c r="K106" s="140"/>
      <c r="L106" s="130"/>
      <c r="M106" s="124"/>
      <c r="N106" s="74"/>
      <c r="O106" s="194"/>
      <c r="P106" s="6"/>
      <c r="Q106" s="16"/>
      <c r="R106" s="8"/>
      <c r="S106" s="110"/>
      <c r="T106" s="103"/>
      <c r="U106" s="103"/>
      <c r="V106" s="104"/>
      <c r="W106" s="29"/>
    </row>
    <row r="107" spans="1:23" x14ac:dyDescent="0.3">
      <c r="A107" s="49"/>
      <c r="B107" s="49"/>
      <c r="C107" s="49"/>
      <c r="D107" s="94"/>
      <c r="E107" s="89"/>
      <c r="F107" s="84"/>
      <c r="G107" s="88"/>
      <c r="H107" s="87"/>
      <c r="I107" s="87"/>
      <c r="J107" s="123"/>
      <c r="K107" s="140"/>
      <c r="L107" s="130"/>
      <c r="M107" s="129"/>
      <c r="N107" s="76"/>
      <c r="O107" s="144"/>
      <c r="P107" s="6"/>
      <c r="Q107" s="165"/>
      <c r="R107" s="8"/>
      <c r="S107" s="13"/>
      <c r="T107" s="103"/>
      <c r="U107" s="103"/>
      <c r="V107" s="104"/>
      <c r="W107" s="29"/>
    </row>
    <row r="108" spans="1:23" x14ac:dyDescent="0.3">
      <c r="A108" s="49"/>
      <c r="B108" s="49"/>
      <c r="C108" s="49"/>
      <c r="D108" s="94"/>
      <c r="E108" s="85"/>
      <c r="F108" s="86"/>
      <c r="G108" s="89"/>
      <c r="H108" s="84"/>
      <c r="I108" s="84"/>
      <c r="J108" s="119"/>
      <c r="K108" s="140"/>
      <c r="L108" s="131"/>
      <c r="M108" s="129"/>
      <c r="N108" s="76"/>
      <c r="O108" s="144"/>
      <c r="P108" s="6"/>
      <c r="Q108" s="165"/>
      <c r="R108" s="9"/>
      <c r="S108" s="110"/>
      <c r="T108" s="103"/>
      <c r="U108" s="103"/>
      <c r="V108" s="104"/>
      <c r="W108" s="29"/>
    </row>
    <row r="109" spans="1:23" x14ac:dyDescent="0.3">
      <c r="A109" s="49"/>
      <c r="B109" s="49"/>
      <c r="C109" s="49"/>
      <c r="D109" s="94"/>
      <c r="E109" s="85"/>
      <c r="F109" s="86"/>
      <c r="G109" s="89"/>
      <c r="H109" s="84"/>
      <c r="I109" s="84"/>
      <c r="J109" s="119"/>
      <c r="K109" s="140"/>
      <c r="L109" s="131"/>
      <c r="M109" s="129"/>
      <c r="N109" s="76"/>
      <c r="O109" s="144"/>
      <c r="P109" s="6"/>
      <c r="Q109" s="16"/>
      <c r="R109" s="8"/>
      <c r="S109" s="13"/>
      <c r="T109" s="103"/>
      <c r="U109" s="103"/>
      <c r="V109" s="104"/>
      <c r="W109" s="29"/>
    </row>
    <row r="110" spans="1:23" x14ac:dyDescent="0.3">
      <c r="A110" s="49"/>
      <c r="B110" s="49"/>
      <c r="C110" s="49"/>
      <c r="D110" s="94"/>
      <c r="E110" s="85"/>
      <c r="F110" s="86"/>
      <c r="G110" s="89"/>
      <c r="H110" s="84"/>
      <c r="I110" s="84"/>
      <c r="J110" s="119"/>
      <c r="K110" s="140"/>
      <c r="L110" s="131"/>
      <c r="M110" s="129"/>
      <c r="N110" s="76"/>
      <c r="O110" s="144"/>
      <c r="P110" s="6"/>
      <c r="Q110" s="16"/>
      <c r="R110" s="8"/>
      <c r="S110" s="110"/>
      <c r="T110" s="103"/>
      <c r="U110" s="103"/>
      <c r="V110" s="104"/>
      <c r="W110" s="29"/>
    </row>
    <row r="111" spans="1:23" x14ac:dyDescent="0.3">
      <c r="A111" s="49"/>
      <c r="B111" s="49"/>
      <c r="C111" s="49"/>
      <c r="D111" s="94"/>
      <c r="E111" s="85"/>
      <c r="F111" s="86"/>
      <c r="G111" s="88"/>
      <c r="H111" s="87"/>
      <c r="I111" s="87"/>
      <c r="J111" s="123"/>
      <c r="K111" s="140"/>
      <c r="L111" s="130"/>
      <c r="M111" s="124"/>
      <c r="N111" s="74"/>
      <c r="O111" s="194"/>
      <c r="P111" s="6"/>
      <c r="Q111" s="16"/>
      <c r="R111" s="106"/>
      <c r="S111" s="110"/>
      <c r="T111" s="103"/>
      <c r="U111" s="103"/>
      <c r="V111" s="104"/>
      <c r="W111" s="29"/>
    </row>
    <row r="112" spans="1:23" x14ac:dyDescent="0.3">
      <c r="A112" s="49"/>
      <c r="B112" s="49"/>
      <c r="C112" s="49"/>
      <c r="D112" s="94"/>
      <c r="E112" s="89"/>
      <c r="F112" s="84"/>
      <c r="G112" s="83"/>
      <c r="H112" s="87"/>
      <c r="I112" s="87"/>
      <c r="J112" s="123"/>
      <c r="K112" s="140"/>
      <c r="L112" s="130"/>
      <c r="M112" s="124"/>
      <c r="N112" s="74"/>
      <c r="O112" s="194"/>
      <c r="P112" s="6"/>
      <c r="Q112" s="165"/>
      <c r="R112" s="8"/>
      <c r="S112" s="110"/>
      <c r="T112" s="103"/>
      <c r="U112" s="103"/>
      <c r="V112" s="104"/>
      <c r="W112" s="29"/>
    </row>
    <row r="113" spans="1:23" x14ac:dyDescent="0.3">
      <c r="A113" s="49"/>
      <c r="B113" s="49"/>
      <c r="C113" s="49"/>
      <c r="D113" s="94"/>
      <c r="E113" s="89"/>
      <c r="F113" s="84"/>
      <c r="G113" s="89"/>
      <c r="H113" s="84"/>
      <c r="I113" s="84"/>
      <c r="J113" s="119"/>
      <c r="K113" s="140"/>
      <c r="L113" s="131"/>
      <c r="M113" s="124"/>
      <c r="N113" s="74"/>
      <c r="O113" s="194"/>
      <c r="P113" s="6"/>
      <c r="Q113" s="165"/>
      <c r="R113" s="9"/>
      <c r="S113" s="110"/>
      <c r="T113" s="103"/>
      <c r="U113" s="103"/>
      <c r="V113" s="104"/>
      <c r="W113" s="29"/>
    </row>
    <row r="114" spans="1:23" x14ac:dyDescent="0.3">
      <c r="A114" s="49"/>
      <c r="B114" s="49"/>
      <c r="C114" s="49"/>
      <c r="D114" s="94"/>
      <c r="E114" s="89"/>
      <c r="F114" s="84"/>
      <c r="G114" s="83"/>
      <c r="H114" s="87"/>
      <c r="I114" s="87"/>
      <c r="J114" s="123"/>
      <c r="K114" s="140"/>
      <c r="L114" s="130"/>
      <c r="M114" s="124"/>
      <c r="N114" s="74"/>
      <c r="O114" s="194"/>
      <c r="P114" s="6"/>
      <c r="Q114" s="165"/>
      <c r="R114" s="9"/>
      <c r="S114" s="110"/>
      <c r="T114" s="103"/>
      <c r="U114" s="103"/>
      <c r="V114" s="104"/>
      <c r="W114" s="29"/>
    </row>
    <row r="115" spans="1:23" x14ac:dyDescent="0.3">
      <c r="A115" s="49"/>
      <c r="B115" s="49"/>
      <c r="C115" s="49"/>
      <c r="D115" s="94"/>
      <c r="E115" s="89"/>
      <c r="F115" s="84"/>
      <c r="G115" s="85"/>
      <c r="H115" s="86"/>
      <c r="I115" s="87"/>
      <c r="J115" s="123"/>
      <c r="K115" s="140"/>
      <c r="L115" s="130"/>
      <c r="M115" s="124"/>
      <c r="N115" s="74"/>
      <c r="O115" s="194"/>
      <c r="P115" s="6"/>
      <c r="Q115" s="165"/>
      <c r="R115" s="9"/>
      <c r="S115" s="110"/>
      <c r="T115" s="103"/>
      <c r="U115" s="103"/>
      <c r="V115" s="104"/>
      <c r="W115" s="29"/>
    </row>
    <row r="116" spans="1:23" x14ac:dyDescent="0.3">
      <c r="A116" s="49"/>
      <c r="B116" s="49"/>
      <c r="C116" s="49"/>
      <c r="D116" s="94"/>
      <c r="E116" s="85"/>
      <c r="F116" s="86"/>
      <c r="G116" s="89"/>
      <c r="H116" s="84"/>
      <c r="I116" s="84"/>
      <c r="J116" s="119"/>
      <c r="K116" s="140"/>
      <c r="L116" s="131"/>
      <c r="M116" s="124"/>
      <c r="N116" s="74"/>
      <c r="O116" s="194"/>
      <c r="P116" s="6"/>
      <c r="Q116" s="165"/>
      <c r="R116" s="8"/>
      <c r="S116" s="110"/>
      <c r="T116" s="103"/>
      <c r="U116" s="103"/>
      <c r="V116" s="104"/>
      <c r="W116" s="29"/>
    </row>
    <row r="117" spans="1:23" x14ac:dyDescent="0.3">
      <c r="A117" s="49"/>
      <c r="B117" s="49"/>
      <c r="C117" s="49"/>
      <c r="D117" s="94"/>
      <c r="E117" s="89"/>
      <c r="F117" s="84"/>
      <c r="G117" s="83"/>
      <c r="H117" s="87"/>
      <c r="I117" s="87"/>
      <c r="J117" s="123"/>
      <c r="K117" s="140"/>
      <c r="L117" s="130"/>
      <c r="M117" s="129"/>
      <c r="N117" s="76"/>
      <c r="O117" s="144"/>
      <c r="P117" s="6"/>
      <c r="Q117" s="16"/>
      <c r="R117" s="8"/>
      <c r="S117" s="110"/>
      <c r="T117" s="103"/>
      <c r="U117" s="103"/>
      <c r="V117" s="104"/>
      <c r="W117" s="29"/>
    </row>
    <row r="118" spans="1:23" x14ac:dyDescent="0.3">
      <c r="A118" s="49"/>
      <c r="B118" s="49"/>
      <c r="C118" s="49"/>
      <c r="D118" s="94"/>
      <c r="E118" s="85"/>
      <c r="F118" s="86"/>
      <c r="G118" s="83"/>
      <c r="H118" s="87"/>
      <c r="I118" s="87"/>
      <c r="J118" s="123"/>
      <c r="K118" s="140"/>
      <c r="L118" s="130"/>
      <c r="M118" s="124"/>
      <c r="N118" s="74"/>
      <c r="O118" s="194"/>
      <c r="P118" s="6"/>
      <c r="Q118" s="165"/>
      <c r="R118" s="8"/>
      <c r="S118" s="110"/>
      <c r="T118" s="103"/>
      <c r="U118" s="103"/>
      <c r="V118" s="104"/>
      <c r="W118" s="29"/>
    </row>
    <row r="119" spans="1:23" x14ac:dyDescent="0.3">
      <c r="A119" s="49"/>
      <c r="B119" s="49"/>
      <c r="C119" s="49"/>
      <c r="D119" s="94"/>
      <c r="E119" s="89"/>
      <c r="F119" s="84"/>
      <c r="G119" s="89"/>
      <c r="H119" s="84"/>
      <c r="I119" s="84"/>
      <c r="J119" s="119"/>
      <c r="K119" s="140"/>
      <c r="L119" s="131"/>
      <c r="M119" s="124"/>
      <c r="N119" s="74"/>
      <c r="O119" s="194"/>
      <c r="P119" s="6"/>
      <c r="Q119" s="16"/>
      <c r="R119" s="8"/>
      <c r="S119" s="13"/>
      <c r="T119" s="103"/>
      <c r="U119" s="103"/>
      <c r="V119" s="104"/>
      <c r="W119" s="29"/>
    </row>
    <row r="120" spans="1:23" x14ac:dyDescent="0.3">
      <c r="A120" s="49"/>
      <c r="B120" s="49"/>
      <c r="C120" s="49"/>
      <c r="D120" s="94"/>
      <c r="E120" s="89"/>
      <c r="F120" s="84"/>
      <c r="G120" s="83"/>
      <c r="H120" s="87"/>
      <c r="I120" s="87"/>
      <c r="J120" s="123"/>
      <c r="K120" s="140"/>
      <c r="L120" s="130"/>
      <c r="M120" s="129"/>
      <c r="N120" s="76"/>
      <c r="O120" s="144"/>
      <c r="P120" s="6"/>
      <c r="Q120" s="16"/>
      <c r="R120" s="9"/>
      <c r="S120" s="110"/>
      <c r="T120" s="103"/>
      <c r="U120" s="103"/>
      <c r="V120" s="104"/>
      <c r="W120" s="29"/>
    </row>
    <row r="121" spans="1:23" x14ac:dyDescent="0.3">
      <c r="A121" s="49"/>
      <c r="B121" s="49"/>
      <c r="C121" s="49"/>
      <c r="D121" s="94"/>
      <c r="E121" s="85"/>
      <c r="F121" s="86"/>
      <c r="G121" s="89"/>
      <c r="H121" s="84"/>
      <c r="I121" s="84"/>
      <c r="J121" s="119"/>
      <c r="K121" s="140"/>
      <c r="L121" s="131"/>
      <c r="M121" s="124"/>
      <c r="N121" s="74"/>
      <c r="O121" s="194"/>
      <c r="P121" s="6"/>
      <c r="Q121" s="16"/>
      <c r="R121" s="9"/>
      <c r="S121" s="13"/>
      <c r="T121" s="103"/>
      <c r="U121" s="103"/>
      <c r="V121" s="104"/>
      <c r="W121" s="29"/>
    </row>
    <row r="122" spans="1:23" x14ac:dyDescent="0.3">
      <c r="A122" s="49"/>
      <c r="B122" s="49"/>
      <c r="C122" s="49"/>
      <c r="D122" s="94"/>
      <c r="E122" s="85"/>
      <c r="F122" s="86"/>
      <c r="G122" s="83"/>
      <c r="H122" s="87"/>
      <c r="I122" s="87"/>
      <c r="J122" s="123"/>
      <c r="K122" s="140"/>
      <c r="L122" s="130"/>
      <c r="M122" s="124"/>
      <c r="N122" s="74"/>
      <c r="O122" s="194"/>
      <c r="P122" s="6"/>
      <c r="Q122" s="16"/>
      <c r="R122" s="8"/>
      <c r="S122" s="13"/>
      <c r="T122" s="103"/>
      <c r="U122" s="103"/>
      <c r="V122" s="104"/>
      <c r="W122" s="29"/>
    </row>
    <row r="123" spans="1:23" x14ac:dyDescent="0.3">
      <c r="A123" s="49"/>
      <c r="B123" s="49"/>
      <c r="C123" s="49"/>
      <c r="D123" s="94"/>
      <c r="E123" s="89"/>
      <c r="F123" s="84"/>
      <c r="G123" s="83"/>
      <c r="H123" s="87"/>
      <c r="I123" s="87"/>
      <c r="J123" s="123"/>
      <c r="K123" s="140"/>
      <c r="L123" s="130"/>
      <c r="M123" s="124"/>
      <c r="N123" s="74"/>
      <c r="O123" s="194"/>
      <c r="P123" s="6"/>
      <c r="Q123" s="165"/>
      <c r="R123" s="8"/>
      <c r="S123" s="110"/>
      <c r="T123" s="103"/>
      <c r="U123" s="103"/>
      <c r="V123" s="104"/>
      <c r="W123" s="29"/>
    </row>
    <row r="124" spans="1:23" x14ac:dyDescent="0.3">
      <c r="A124" s="49"/>
      <c r="B124" s="49"/>
      <c r="C124" s="49"/>
      <c r="D124" s="94"/>
      <c r="E124" s="89"/>
      <c r="F124" s="84"/>
      <c r="G124" s="89"/>
      <c r="H124" s="84"/>
      <c r="I124" s="84"/>
      <c r="J124" s="119"/>
      <c r="K124" s="140"/>
      <c r="L124" s="131"/>
      <c r="M124" s="124"/>
      <c r="N124" s="74"/>
      <c r="O124" s="194"/>
      <c r="P124" s="6"/>
      <c r="Q124" s="165"/>
      <c r="R124" s="106"/>
      <c r="S124" s="110"/>
      <c r="T124" s="103"/>
      <c r="U124" s="103"/>
      <c r="V124" s="104"/>
      <c r="W124" s="29"/>
    </row>
    <row r="125" spans="1:23" x14ac:dyDescent="0.3">
      <c r="A125" s="49"/>
      <c r="B125" s="49"/>
      <c r="C125" s="49"/>
      <c r="D125" s="94"/>
      <c r="E125" s="89"/>
      <c r="F125" s="84"/>
      <c r="G125" s="83"/>
      <c r="H125" s="87"/>
      <c r="I125" s="87"/>
      <c r="J125" s="123"/>
      <c r="K125" s="140"/>
      <c r="L125" s="130"/>
      <c r="M125" s="124"/>
      <c r="N125" s="74"/>
      <c r="O125" s="194"/>
      <c r="P125" s="6"/>
      <c r="Q125" s="16"/>
      <c r="R125" s="9"/>
      <c r="S125" s="13"/>
      <c r="T125" s="103"/>
      <c r="U125" s="103"/>
      <c r="V125" s="104"/>
      <c r="W125" s="29"/>
    </row>
    <row r="126" spans="1:23" x14ac:dyDescent="0.3">
      <c r="A126" s="49"/>
      <c r="B126" s="49"/>
      <c r="C126" s="49"/>
      <c r="D126" s="94"/>
      <c r="E126" s="89"/>
      <c r="F126" s="84"/>
      <c r="G126" s="85"/>
      <c r="H126" s="86"/>
      <c r="I126" s="87"/>
      <c r="J126" s="123"/>
      <c r="K126" s="140"/>
      <c r="L126" s="130"/>
      <c r="M126" s="129"/>
      <c r="N126" s="76"/>
      <c r="O126" s="194"/>
      <c r="P126" s="6"/>
      <c r="Q126" s="16"/>
      <c r="R126" s="8"/>
      <c r="S126" s="110"/>
      <c r="T126" s="103"/>
      <c r="U126" s="103"/>
      <c r="V126" s="104"/>
      <c r="W126" s="29"/>
    </row>
    <row r="127" spans="1:23" x14ac:dyDescent="0.3">
      <c r="A127" s="49"/>
      <c r="B127" s="49"/>
      <c r="C127" s="49"/>
      <c r="D127" s="94"/>
      <c r="E127" s="85"/>
      <c r="F127" s="86"/>
      <c r="G127" s="89"/>
      <c r="H127" s="84"/>
      <c r="I127" s="87"/>
      <c r="J127" s="123"/>
      <c r="K127" s="140"/>
      <c r="L127" s="130"/>
      <c r="M127" s="128"/>
      <c r="N127" s="75"/>
      <c r="O127" s="152"/>
      <c r="P127" s="6"/>
      <c r="Q127" s="165"/>
      <c r="R127" s="9"/>
      <c r="S127" s="110"/>
      <c r="T127" s="103"/>
      <c r="U127" s="103"/>
      <c r="V127" s="104"/>
      <c r="W127" s="29"/>
    </row>
    <row r="128" spans="1:23" x14ac:dyDescent="0.3">
      <c r="A128" s="49"/>
      <c r="B128" s="49"/>
      <c r="C128" s="49"/>
      <c r="D128" s="94"/>
      <c r="E128" s="85"/>
      <c r="F128" s="86"/>
      <c r="G128" s="88"/>
      <c r="H128" s="87"/>
      <c r="I128" s="87"/>
      <c r="J128" s="123"/>
      <c r="K128" s="140"/>
      <c r="L128" s="130"/>
      <c r="M128" s="128"/>
      <c r="N128" s="75"/>
      <c r="O128" s="152"/>
      <c r="P128" s="6"/>
      <c r="Q128" s="16"/>
      <c r="R128" s="106"/>
      <c r="S128" s="13"/>
      <c r="T128" s="103"/>
      <c r="U128" s="103"/>
      <c r="V128" s="104"/>
      <c r="W128" s="29"/>
    </row>
    <row r="129" spans="1:23" x14ac:dyDescent="0.3">
      <c r="A129" s="49"/>
      <c r="B129" s="49"/>
      <c r="C129" s="49"/>
      <c r="D129" s="94"/>
      <c r="E129" s="85"/>
      <c r="F129" s="86"/>
      <c r="G129" s="89"/>
      <c r="H129" s="84"/>
      <c r="I129" s="87"/>
      <c r="J129" s="123"/>
      <c r="K129" s="140"/>
      <c r="L129" s="130"/>
      <c r="M129" s="128"/>
      <c r="N129" s="75"/>
      <c r="O129" s="152"/>
      <c r="P129" s="6"/>
      <c r="Q129" s="16"/>
      <c r="R129" s="9"/>
      <c r="S129" s="13"/>
      <c r="T129" s="103"/>
      <c r="U129" s="103"/>
      <c r="V129" s="104"/>
      <c r="W129" s="29"/>
    </row>
    <row r="130" spans="1:23" x14ac:dyDescent="0.3">
      <c r="A130" s="49"/>
      <c r="B130" s="49"/>
      <c r="C130" s="49"/>
      <c r="D130" s="94"/>
      <c r="E130" s="85"/>
      <c r="F130" s="86"/>
      <c r="G130" s="88"/>
      <c r="H130" s="87"/>
      <c r="I130" s="87"/>
      <c r="J130" s="123"/>
      <c r="K130" s="140"/>
      <c r="L130" s="130"/>
      <c r="M130" s="128"/>
      <c r="N130" s="75"/>
      <c r="O130" s="152"/>
      <c r="P130" s="6"/>
      <c r="Q130" s="16"/>
      <c r="R130" s="8"/>
      <c r="S130" s="13"/>
      <c r="T130" s="103"/>
      <c r="U130" s="103"/>
      <c r="V130" s="104"/>
      <c r="W130" s="29"/>
    </row>
    <row r="131" spans="1:23" x14ac:dyDescent="0.3">
      <c r="A131" s="49"/>
      <c r="B131" s="49"/>
      <c r="C131" s="49"/>
      <c r="D131" s="94"/>
      <c r="E131" s="85"/>
      <c r="F131" s="86"/>
      <c r="G131" s="89"/>
      <c r="H131" s="84"/>
      <c r="I131" s="87"/>
      <c r="J131" s="123"/>
      <c r="K131" s="140"/>
      <c r="L131" s="130"/>
      <c r="M131" s="128"/>
      <c r="N131" s="75"/>
      <c r="O131" s="152"/>
      <c r="P131" s="6"/>
      <c r="Q131" s="16"/>
      <c r="R131" s="8"/>
      <c r="S131" s="13"/>
      <c r="T131" s="103"/>
      <c r="U131" s="103"/>
      <c r="V131" s="104"/>
      <c r="W131" s="29"/>
    </row>
    <row r="132" spans="1:23" x14ac:dyDescent="0.3">
      <c r="A132" s="49"/>
      <c r="B132" s="49"/>
      <c r="C132" s="49"/>
      <c r="D132" s="94"/>
      <c r="E132" s="85"/>
      <c r="F132" s="86"/>
      <c r="G132" s="88"/>
      <c r="H132" s="87"/>
      <c r="I132" s="87"/>
      <c r="J132" s="123"/>
      <c r="K132" s="140"/>
      <c r="L132" s="130"/>
      <c r="M132" s="128"/>
      <c r="N132" s="75"/>
      <c r="O132" s="152"/>
      <c r="P132" s="6"/>
      <c r="Q132" s="16"/>
      <c r="R132" s="9"/>
      <c r="S132" s="13"/>
      <c r="T132" s="103"/>
      <c r="U132" s="103"/>
      <c r="V132" s="104"/>
      <c r="W132" s="29"/>
    </row>
    <row r="133" spans="1:23" x14ac:dyDescent="0.3">
      <c r="A133" s="49"/>
      <c r="B133" s="49"/>
      <c r="C133" s="49"/>
      <c r="D133" s="94"/>
      <c r="E133" s="85"/>
      <c r="F133" s="86"/>
      <c r="G133" s="88"/>
      <c r="H133" s="87"/>
      <c r="I133" s="87"/>
      <c r="J133" s="123"/>
      <c r="K133" s="140"/>
      <c r="L133" s="130"/>
      <c r="M133" s="128"/>
      <c r="N133" s="75"/>
      <c r="O133" s="152"/>
      <c r="P133" s="6"/>
      <c r="Q133" s="16"/>
      <c r="R133" s="8"/>
      <c r="S133" s="13"/>
      <c r="T133" s="103"/>
      <c r="U133" s="103"/>
      <c r="V133" s="104"/>
      <c r="W133" s="29"/>
    </row>
    <row r="134" spans="1:23" x14ac:dyDescent="0.3">
      <c r="A134" s="49"/>
      <c r="B134" s="49"/>
      <c r="C134" s="49"/>
      <c r="D134" s="94"/>
      <c r="E134" s="85"/>
      <c r="F134" s="86"/>
      <c r="G134" s="85"/>
      <c r="H134" s="86"/>
      <c r="I134" s="87"/>
      <c r="J134" s="123"/>
      <c r="K134" s="140"/>
      <c r="L134" s="130"/>
      <c r="M134" s="128"/>
      <c r="N134" s="75"/>
      <c r="O134" s="152"/>
      <c r="P134" s="6"/>
      <c r="Q134" s="16"/>
      <c r="R134" s="106"/>
      <c r="S134" s="110"/>
      <c r="T134" s="103"/>
      <c r="U134" s="103"/>
      <c r="V134" s="104"/>
      <c r="W134" s="29"/>
    </row>
    <row r="135" spans="1:23" x14ac:dyDescent="0.3">
      <c r="A135" s="49"/>
      <c r="B135" s="49"/>
      <c r="C135" s="49"/>
      <c r="D135" s="94"/>
      <c r="E135" s="85"/>
      <c r="F135" s="86"/>
      <c r="G135" s="83"/>
      <c r="H135" s="87"/>
      <c r="I135" s="87"/>
      <c r="J135" s="123"/>
      <c r="K135" s="140"/>
      <c r="L135" s="130"/>
      <c r="M135" s="128"/>
      <c r="N135" s="75"/>
      <c r="O135" s="152"/>
      <c r="P135" s="6"/>
      <c r="Q135" s="16"/>
      <c r="R135" s="9"/>
      <c r="S135" s="110"/>
      <c r="T135" s="103"/>
      <c r="U135" s="103"/>
      <c r="V135" s="104"/>
      <c r="W135" s="29"/>
    </row>
    <row r="136" spans="1:23" x14ac:dyDescent="0.3">
      <c r="A136" s="49"/>
      <c r="B136" s="49"/>
      <c r="C136" s="49"/>
      <c r="D136" s="94"/>
      <c r="E136" s="85"/>
      <c r="F136" s="86"/>
      <c r="G136" s="83"/>
      <c r="H136" s="87"/>
      <c r="I136" s="87"/>
      <c r="J136" s="123"/>
      <c r="K136" s="140"/>
      <c r="L136" s="130"/>
      <c r="M136" s="128"/>
      <c r="N136" s="75"/>
      <c r="O136" s="152"/>
      <c r="P136" s="6"/>
      <c r="Q136" s="16"/>
      <c r="R136" s="9"/>
      <c r="S136" s="13"/>
      <c r="T136" s="103"/>
      <c r="U136" s="103"/>
      <c r="V136" s="104"/>
      <c r="W136" s="29"/>
    </row>
    <row r="137" spans="1:23" x14ac:dyDescent="0.3">
      <c r="A137" s="49"/>
      <c r="B137" s="49"/>
      <c r="C137" s="49"/>
      <c r="D137" s="94"/>
      <c r="E137" s="85"/>
      <c r="F137" s="86"/>
      <c r="G137" s="89"/>
      <c r="H137" s="84"/>
      <c r="I137" s="84"/>
      <c r="J137" s="119"/>
      <c r="K137" s="140"/>
      <c r="L137" s="131"/>
      <c r="M137" s="128"/>
      <c r="N137" s="75"/>
      <c r="O137" s="152"/>
      <c r="P137" s="6"/>
      <c r="Q137" s="16"/>
      <c r="R137" s="106"/>
      <c r="S137" s="110"/>
      <c r="T137" s="103"/>
      <c r="U137" s="103"/>
      <c r="V137" s="104"/>
      <c r="W137" s="29"/>
    </row>
    <row r="138" spans="1:23" x14ac:dyDescent="0.3">
      <c r="A138" s="49"/>
      <c r="B138" s="49"/>
      <c r="C138" s="49"/>
      <c r="D138" s="94"/>
      <c r="E138" s="85"/>
      <c r="F138" s="86"/>
      <c r="G138" s="85"/>
      <c r="H138" s="86"/>
      <c r="I138" s="87"/>
      <c r="J138" s="123"/>
      <c r="K138" s="140"/>
      <c r="L138" s="130"/>
      <c r="M138" s="128"/>
      <c r="N138" s="75"/>
      <c r="O138" s="152"/>
      <c r="P138" s="6"/>
      <c r="Q138" s="16"/>
      <c r="R138" s="106"/>
      <c r="S138" s="13"/>
      <c r="T138" s="103"/>
      <c r="U138" s="103"/>
      <c r="V138" s="104"/>
      <c r="W138" s="29"/>
    </row>
    <row r="139" spans="1:23" x14ac:dyDescent="0.3">
      <c r="A139" s="49"/>
      <c r="B139" s="49"/>
      <c r="C139" s="49"/>
      <c r="D139" s="94"/>
      <c r="E139" s="85"/>
      <c r="F139" s="86"/>
      <c r="G139" s="85"/>
      <c r="H139" s="86"/>
      <c r="I139" s="85"/>
      <c r="J139" s="125"/>
      <c r="K139" s="140"/>
      <c r="L139" s="132"/>
      <c r="M139" s="129"/>
      <c r="N139" s="76"/>
      <c r="O139" s="194"/>
      <c r="P139" s="6"/>
      <c r="Q139" s="16"/>
      <c r="R139" s="106"/>
      <c r="S139" s="13"/>
      <c r="T139" s="103"/>
      <c r="U139" s="103"/>
      <c r="V139" s="104"/>
      <c r="W139" s="29"/>
    </row>
    <row r="140" spans="1:23" x14ac:dyDescent="0.3">
      <c r="A140" s="49"/>
      <c r="B140" s="49"/>
      <c r="C140" s="49"/>
      <c r="D140" s="94"/>
      <c r="E140" s="85"/>
      <c r="F140" s="86"/>
      <c r="G140" s="85"/>
      <c r="H140" s="86"/>
      <c r="I140" s="87"/>
      <c r="J140" s="123"/>
      <c r="K140" s="140"/>
      <c r="L140" s="130"/>
      <c r="M140" s="129"/>
      <c r="N140" s="76"/>
      <c r="O140" s="144"/>
      <c r="P140" s="6"/>
      <c r="Q140" s="16"/>
      <c r="R140" s="9"/>
      <c r="S140" s="110"/>
      <c r="T140" s="103"/>
      <c r="U140" s="103"/>
      <c r="V140" s="104"/>
      <c r="W140" s="29"/>
    </row>
    <row r="141" spans="1:23" x14ac:dyDescent="0.3">
      <c r="A141" s="49"/>
      <c r="B141" s="49"/>
      <c r="C141" s="49"/>
      <c r="D141" s="94"/>
      <c r="E141" s="85"/>
      <c r="F141" s="86"/>
      <c r="G141" s="88"/>
      <c r="H141" s="87"/>
      <c r="I141" s="87"/>
      <c r="J141" s="123"/>
      <c r="K141" s="140"/>
      <c r="L141" s="130"/>
      <c r="M141" s="129"/>
      <c r="N141" s="76"/>
      <c r="O141" s="144"/>
      <c r="P141" s="6"/>
      <c r="Q141" s="16"/>
      <c r="R141" s="8"/>
      <c r="S141" s="13"/>
      <c r="T141" s="103"/>
      <c r="U141" s="103"/>
      <c r="V141" s="104"/>
      <c r="W141" s="29"/>
    </row>
    <row r="142" spans="1:23" x14ac:dyDescent="0.3">
      <c r="A142" s="49"/>
      <c r="B142" s="49"/>
      <c r="C142" s="49"/>
      <c r="D142" s="94"/>
      <c r="E142" s="85"/>
      <c r="F142" s="86"/>
      <c r="G142" s="88"/>
      <c r="H142" s="87"/>
      <c r="I142" s="87"/>
      <c r="J142" s="123"/>
      <c r="K142" s="140"/>
      <c r="L142" s="130"/>
      <c r="M142" s="129"/>
      <c r="N142" s="76"/>
      <c r="O142" s="144"/>
      <c r="P142" s="6"/>
      <c r="Q142" s="165"/>
      <c r="R142" s="9"/>
      <c r="S142" s="13"/>
      <c r="T142" s="103"/>
      <c r="U142" s="103"/>
      <c r="V142" s="104"/>
      <c r="W142" s="29"/>
    </row>
    <row r="143" spans="1:23" x14ac:dyDescent="0.3">
      <c r="A143" s="49"/>
      <c r="B143" s="49"/>
      <c r="C143" s="49"/>
      <c r="D143" s="94"/>
      <c r="E143" s="85"/>
      <c r="F143" s="86"/>
      <c r="G143" s="88"/>
      <c r="H143" s="87"/>
      <c r="I143" s="87"/>
      <c r="J143" s="123"/>
      <c r="K143" s="140"/>
      <c r="L143" s="130"/>
      <c r="M143" s="129"/>
      <c r="N143" s="76"/>
      <c r="O143" s="144"/>
      <c r="P143" s="6"/>
      <c r="Q143" s="16"/>
      <c r="R143" s="9"/>
      <c r="S143" s="13"/>
      <c r="T143" s="103"/>
      <c r="U143" s="103"/>
      <c r="V143" s="104"/>
      <c r="W143" s="29"/>
    </row>
    <row r="144" spans="1:23" x14ac:dyDescent="0.3">
      <c r="A144" s="49"/>
      <c r="B144" s="49"/>
      <c r="C144" s="49"/>
      <c r="D144" s="94"/>
      <c r="E144" s="85"/>
      <c r="F144" s="86"/>
      <c r="G144" s="88"/>
      <c r="H144" s="87"/>
      <c r="I144" s="87"/>
      <c r="J144" s="123"/>
      <c r="K144" s="140"/>
      <c r="L144" s="130"/>
      <c r="M144" s="129"/>
      <c r="N144" s="76"/>
      <c r="O144" s="144"/>
      <c r="P144" s="6"/>
      <c r="Q144" s="16"/>
      <c r="R144" s="106"/>
      <c r="S144" s="110"/>
      <c r="T144" s="103"/>
      <c r="U144" s="103"/>
      <c r="V144" s="104"/>
      <c r="W144" s="29"/>
    </row>
    <row r="145" spans="1:23" x14ac:dyDescent="0.3">
      <c r="A145" s="49"/>
      <c r="B145" s="49"/>
      <c r="C145" s="49"/>
      <c r="D145" s="94"/>
      <c r="E145" s="85"/>
      <c r="F145" s="86"/>
      <c r="G145" s="88"/>
      <c r="H145" s="87"/>
      <c r="I145" s="87"/>
      <c r="J145" s="123"/>
      <c r="K145" s="140"/>
      <c r="L145" s="130"/>
      <c r="M145" s="129"/>
      <c r="N145" s="76"/>
      <c r="O145" s="144"/>
      <c r="P145" s="6"/>
      <c r="Q145" s="165"/>
      <c r="R145" s="9"/>
      <c r="S145" s="110"/>
      <c r="T145" s="103"/>
      <c r="U145" s="103"/>
      <c r="V145" s="104"/>
      <c r="W145" s="29"/>
    </row>
    <row r="146" spans="1:23" x14ac:dyDescent="0.3">
      <c r="A146" s="49"/>
      <c r="B146" s="49"/>
      <c r="C146" s="49"/>
      <c r="D146" s="94"/>
      <c r="E146" s="85"/>
      <c r="F146" s="86"/>
      <c r="G146" s="88"/>
      <c r="H146" s="87"/>
      <c r="I146" s="87"/>
      <c r="J146" s="123"/>
      <c r="K146" s="140"/>
      <c r="L146" s="130"/>
      <c r="M146" s="124"/>
      <c r="N146" s="74"/>
      <c r="O146" s="194"/>
      <c r="P146" s="6"/>
      <c r="Q146" s="16"/>
      <c r="R146" s="8"/>
      <c r="S146" s="13"/>
      <c r="T146" s="103"/>
      <c r="U146" s="103"/>
      <c r="V146" s="104"/>
      <c r="W146" s="29"/>
    </row>
    <row r="147" spans="1:23" x14ac:dyDescent="0.3">
      <c r="A147" s="49"/>
      <c r="B147" s="49"/>
      <c r="C147" s="49"/>
      <c r="D147" s="94"/>
      <c r="E147" s="85"/>
      <c r="F147" s="86"/>
      <c r="G147" s="89"/>
      <c r="H147" s="84"/>
      <c r="I147" s="89"/>
      <c r="J147" s="119"/>
      <c r="K147" s="140"/>
      <c r="L147" s="131"/>
      <c r="M147" s="129"/>
      <c r="N147" s="76"/>
      <c r="O147" s="144"/>
      <c r="P147" s="6"/>
      <c r="Q147" s="165"/>
      <c r="R147" s="8"/>
      <c r="S147" s="110"/>
      <c r="T147" s="103"/>
      <c r="U147" s="103"/>
      <c r="V147" s="104"/>
      <c r="W147" s="29"/>
    </row>
    <row r="148" spans="1:23" x14ac:dyDescent="0.3">
      <c r="A148" s="49"/>
      <c r="B148" s="49"/>
      <c r="C148" s="49"/>
      <c r="D148" s="94"/>
      <c r="E148" s="85"/>
      <c r="F148" s="86"/>
      <c r="G148" s="88"/>
      <c r="H148" s="87"/>
      <c r="I148" s="87"/>
      <c r="J148" s="123"/>
      <c r="K148" s="140"/>
      <c r="L148" s="130"/>
      <c r="M148" s="129"/>
      <c r="N148" s="76"/>
      <c r="O148" s="144"/>
      <c r="P148" s="6"/>
      <c r="Q148" s="16"/>
      <c r="R148" s="9"/>
      <c r="S148" s="13"/>
      <c r="T148" s="103"/>
      <c r="U148" s="103"/>
      <c r="V148" s="104"/>
      <c r="W148" s="29"/>
    </row>
    <row r="149" spans="1:23" x14ac:dyDescent="0.3">
      <c r="A149" s="49"/>
      <c r="B149" s="49"/>
      <c r="C149" s="49"/>
      <c r="D149" s="94"/>
      <c r="E149" s="85"/>
      <c r="F149" s="86"/>
      <c r="G149" s="88"/>
      <c r="H149" s="87"/>
      <c r="I149" s="87"/>
      <c r="J149" s="123"/>
      <c r="K149" s="140"/>
      <c r="L149" s="130"/>
      <c r="M149" s="129"/>
      <c r="N149" s="76"/>
      <c r="O149" s="144"/>
      <c r="P149" s="6"/>
      <c r="Q149" s="165"/>
      <c r="R149" s="9"/>
      <c r="S149" s="110"/>
      <c r="T149" s="103"/>
      <c r="U149" s="103"/>
      <c r="V149" s="104"/>
      <c r="W149" s="29"/>
    </row>
    <row r="150" spans="1:23" x14ac:dyDescent="0.3">
      <c r="A150" s="49"/>
      <c r="B150" s="49"/>
      <c r="C150" s="49"/>
      <c r="D150" s="94"/>
      <c r="E150" s="85"/>
      <c r="F150" s="86"/>
      <c r="G150" s="88"/>
      <c r="H150" s="87"/>
      <c r="I150" s="87"/>
      <c r="J150" s="123"/>
      <c r="K150" s="140"/>
      <c r="L150" s="130"/>
      <c r="M150" s="129"/>
      <c r="N150" s="76"/>
      <c r="O150" s="144"/>
      <c r="P150" s="6"/>
      <c r="Q150" s="16"/>
      <c r="R150" s="9"/>
      <c r="S150" s="110"/>
      <c r="T150" s="103"/>
      <c r="U150" s="103"/>
      <c r="V150" s="104"/>
      <c r="W150" s="29"/>
    </row>
    <row r="151" spans="1:23" x14ac:dyDescent="0.3">
      <c r="A151" s="49"/>
      <c r="B151" s="49"/>
      <c r="C151" s="49"/>
      <c r="D151" s="94"/>
      <c r="E151" s="85"/>
      <c r="F151" s="86"/>
      <c r="G151" s="88"/>
      <c r="H151" s="87"/>
      <c r="I151" s="87"/>
      <c r="J151" s="123"/>
      <c r="K151" s="140"/>
      <c r="L151" s="130"/>
      <c r="M151" s="129"/>
      <c r="N151" s="76"/>
      <c r="O151" s="144"/>
      <c r="P151" s="6"/>
      <c r="Q151" s="16"/>
      <c r="R151" s="8"/>
      <c r="S151" s="13"/>
      <c r="T151" s="103"/>
      <c r="U151" s="103"/>
      <c r="V151" s="104"/>
      <c r="W151" s="29"/>
    </row>
    <row r="152" spans="1:23" x14ac:dyDescent="0.3">
      <c r="A152" s="49"/>
      <c r="B152" s="49"/>
      <c r="C152" s="49"/>
      <c r="D152" s="94"/>
      <c r="E152" s="85"/>
      <c r="F152" s="86"/>
      <c r="G152" s="88"/>
      <c r="H152" s="87"/>
      <c r="I152" s="87"/>
      <c r="J152" s="123"/>
      <c r="K152" s="140"/>
      <c r="L152" s="130"/>
      <c r="M152" s="129"/>
      <c r="N152" s="76"/>
      <c r="O152" s="194"/>
      <c r="P152" s="6"/>
      <c r="Q152" s="16"/>
      <c r="R152" s="8"/>
      <c r="S152" s="110"/>
      <c r="T152" s="103"/>
      <c r="U152" s="103"/>
      <c r="V152" s="104"/>
      <c r="W152" s="29"/>
    </row>
    <row r="153" spans="1:23" x14ac:dyDescent="0.3">
      <c r="A153" s="49"/>
      <c r="B153" s="49"/>
      <c r="C153" s="49"/>
      <c r="D153" s="94"/>
      <c r="E153" s="85"/>
      <c r="F153" s="86"/>
      <c r="G153" s="83"/>
      <c r="H153" s="87"/>
      <c r="I153" s="87"/>
      <c r="J153" s="123"/>
      <c r="K153" s="140"/>
      <c r="L153" s="130"/>
      <c r="M153" s="128"/>
      <c r="N153" s="75"/>
      <c r="O153" s="152"/>
      <c r="P153" s="6"/>
      <c r="Q153" s="16"/>
      <c r="R153" s="8"/>
      <c r="S153" s="13"/>
      <c r="T153" s="103"/>
      <c r="U153" s="103"/>
      <c r="V153" s="104"/>
      <c r="W153" s="29"/>
    </row>
    <row r="154" spans="1:23" x14ac:dyDescent="0.3">
      <c r="A154" s="49"/>
      <c r="B154" s="49"/>
      <c r="C154" s="49"/>
      <c r="D154" s="94"/>
      <c r="E154" s="85"/>
      <c r="F154" s="86"/>
      <c r="G154" s="83"/>
      <c r="H154" s="87"/>
      <c r="I154" s="87"/>
      <c r="J154" s="123"/>
      <c r="K154" s="140"/>
      <c r="L154" s="130"/>
      <c r="M154" s="128"/>
      <c r="N154" s="75"/>
      <c r="O154" s="152"/>
      <c r="P154" s="6"/>
      <c r="Q154" s="16"/>
      <c r="R154" s="9"/>
      <c r="S154" s="110"/>
      <c r="T154" s="103"/>
      <c r="U154" s="103"/>
      <c r="V154" s="104"/>
      <c r="W154" s="29"/>
    </row>
    <row r="155" spans="1:23" x14ac:dyDescent="0.3">
      <c r="A155" s="49"/>
      <c r="B155" s="49"/>
      <c r="C155" s="49"/>
      <c r="D155" s="94"/>
      <c r="E155" s="85"/>
      <c r="F155" s="86"/>
      <c r="G155" s="85"/>
      <c r="H155" s="86"/>
      <c r="I155" s="85"/>
      <c r="J155" s="125"/>
      <c r="K155" s="140"/>
      <c r="L155" s="132"/>
      <c r="M155" s="128"/>
      <c r="N155" s="75"/>
      <c r="O155" s="152"/>
      <c r="P155" s="6"/>
      <c r="Q155" s="16"/>
      <c r="R155" s="106"/>
      <c r="S155" s="110"/>
      <c r="T155" s="103"/>
      <c r="U155" s="103"/>
      <c r="V155" s="104"/>
      <c r="W155" s="29"/>
    </row>
    <row r="156" spans="1:23" x14ac:dyDescent="0.3">
      <c r="A156" s="49"/>
      <c r="B156" s="49"/>
      <c r="C156" s="49"/>
      <c r="D156" s="94"/>
      <c r="E156" s="85"/>
      <c r="F156" s="86"/>
      <c r="G156" s="83"/>
      <c r="H156" s="87"/>
      <c r="I156" s="87"/>
      <c r="J156" s="123"/>
      <c r="K156" s="140"/>
      <c r="L156" s="130"/>
      <c r="M156" s="128"/>
      <c r="N156" s="75"/>
      <c r="O156" s="152"/>
      <c r="P156" s="6"/>
      <c r="Q156" s="165"/>
      <c r="R156" s="9"/>
      <c r="S156" s="110"/>
      <c r="T156" s="103"/>
      <c r="U156" s="103"/>
      <c r="V156" s="104"/>
      <c r="W156" s="29"/>
    </row>
    <row r="157" spans="1:23" x14ac:dyDescent="0.3">
      <c r="A157" s="49"/>
      <c r="B157" s="49"/>
      <c r="C157" s="49"/>
      <c r="D157" s="94"/>
      <c r="E157" s="85"/>
      <c r="F157" s="86"/>
      <c r="G157" s="89"/>
      <c r="H157" s="84"/>
      <c r="I157" s="84"/>
      <c r="J157" s="119"/>
      <c r="K157" s="140"/>
      <c r="L157" s="131"/>
      <c r="M157" s="128"/>
      <c r="N157" s="75"/>
      <c r="O157" s="152"/>
      <c r="P157" s="6"/>
      <c r="Q157" s="16"/>
      <c r="R157" s="9"/>
      <c r="S157" s="13"/>
      <c r="T157" s="103"/>
      <c r="U157" s="103"/>
      <c r="V157" s="104"/>
      <c r="W157" s="29"/>
    </row>
    <row r="158" spans="1:23" x14ac:dyDescent="0.3">
      <c r="A158" s="49"/>
      <c r="B158" s="49"/>
      <c r="C158" s="49"/>
      <c r="D158" s="94"/>
      <c r="E158" s="85"/>
      <c r="F158" s="86"/>
      <c r="G158" s="89"/>
      <c r="H158" s="84"/>
      <c r="I158" s="84"/>
      <c r="J158" s="119"/>
      <c r="K158" s="140"/>
      <c r="L158" s="131"/>
      <c r="M158" s="128"/>
      <c r="N158" s="75"/>
      <c r="O158" s="152"/>
      <c r="P158" s="6"/>
      <c r="Q158" s="165"/>
      <c r="R158" s="106"/>
      <c r="S158" s="110"/>
      <c r="T158" s="103"/>
      <c r="U158" s="103"/>
      <c r="V158" s="104"/>
      <c r="W158" s="29"/>
    </row>
    <row r="159" spans="1:23" x14ac:dyDescent="0.3">
      <c r="A159" s="49"/>
      <c r="B159" s="49"/>
      <c r="C159" s="49"/>
      <c r="D159" s="94"/>
      <c r="E159" s="85"/>
      <c r="F159" s="86"/>
      <c r="G159" s="89"/>
      <c r="H159" s="84"/>
      <c r="I159" s="87"/>
      <c r="J159" s="123"/>
      <c r="K159" s="140"/>
      <c r="L159" s="130"/>
      <c r="M159" s="128"/>
      <c r="N159" s="75"/>
      <c r="O159" s="152"/>
      <c r="P159" s="6"/>
      <c r="Q159" s="16"/>
      <c r="R159" s="106"/>
      <c r="S159" s="13"/>
      <c r="T159" s="103"/>
      <c r="U159" s="103"/>
      <c r="V159" s="104"/>
      <c r="W159" s="29"/>
    </row>
    <row r="160" spans="1:23" x14ac:dyDescent="0.3">
      <c r="A160" s="49"/>
      <c r="B160" s="49"/>
      <c r="C160" s="49"/>
      <c r="D160" s="94"/>
      <c r="E160" s="85"/>
      <c r="F160" s="86"/>
      <c r="G160" s="89"/>
      <c r="H160" s="84"/>
      <c r="I160" s="87"/>
      <c r="J160" s="123"/>
      <c r="K160" s="140"/>
      <c r="L160" s="130"/>
      <c r="M160" s="128"/>
      <c r="N160" s="75"/>
      <c r="O160" s="152"/>
      <c r="P160" s="6"/>
      <c r="Q160" s="165"/>
      <c r="R160" s="106"/>
      <c r="S160" s="110"/>
      <c r="T160" s="103"/>
      <c r="U160" s="103"/>
      <c r="V160" s="104"/>
      <c r="W160" s="29"/>
    </row>
    <row r="161" spans="1:23" x14ac:dyDescent="0.3">
      <c r="A161" s="49"/>
      <c r="B161" s="49"/>
      <c r="C161" s="49"/>
      <c r="D161" s="94"/>
      <c r="E161" s="85"/>
      <c r="F161" s="86"/>
      <c r="G161" s="83"/>
      <c r="H161" s="87"/>
      <c r="I161" s="87"/>
      <c r="J161" s="123"/>
      <c r="K161" s="140"/>
      <c r="L161" s="130"/>
      <c r="M161" s="128"/>
      <c r="N161" s="75"/>
      <c r="O161" s="152"/>
      <c r="P161" s="6"/>
      <c r="Q161" s="165"/>
      <c r="R161" s="8"/>
      <c r="S161" s="110"/>
      <c r="T161" s="103"/>
      <c r="U161" s="103"/>
      <c r="V161" s="104"/>
      <c r="W161" s="29"/>
    </row>
    <row r="162" spans="1:23" x14ac:dyDescent="0.3">
      <c r="A162" s="49"/>
      <c r="B162" s="49"/>
      <c r="C162" s="49"/>
      <c r="D162" s="94"/>
      <c r="E162" s="85"/>
      <c r="F162" s="86"/>
      <c r="G162" s="88"/>
      <c r="H162" s="87"/>
      <c r="I162" s="87"/>
      <c r="J162" s="123"/>
      <c r="K162" s="140"/>
      <c r="L162" s="130"/>
      <c r="M162" s="128"/>
      <c r="N162" s="75"/>
      <c r="O162" s="152"/>
      <c r="P162" s="6"/>
      <c r="Q162" s="16"/>
      <c r="R162" s="106"/>
      <c r="S162" s="110"/>
      <c r="T162" s="103"/>
      <c r="U162" s="103"/>
      <c r="V162" s="104"/>
      <c r="W162" s="29"/>
    </row>
    <row r="163" spans="1:23" x14ac:dyDescent="0.3">
      <c r="A163" s="49"/>
      <c r="B163" s="49"/>
      <c r="C163" s="49"/>
      <c r="D163" s="94"/>
      <c r="E163" s="85"/>
      <c r="F163" s="86"/>
      <c r="G163" s="88"/>
      <c r="H163" s="87"/>
      <c r="I163" s="87"/>
      <c r="J163" s="123"/>
      <c r="K163" s="140"/>
      <c r="L163" s="130"/>
      <c r="M163" s="124"/>
      <c r="N163" s="74"/>
      <c r="O163" s="194"/>
      <c r="P163" s="6"/>
      <c r="Q163" s="16"/>
      <c r="R163" s="106"/>
      <c r="S163" s="110"/>
      <c r="T163" s="103"/>
      <c r="U163" s="103"/>
      <c r="V163" s="104"/>
      <c r="W163" s="29"/>
    </row>
    <row r="164" spans="1:23" x14ac:dyDescent="0.3">
      <c r="A164" s="49"/>
      <c r="B164" s="49"/>
      <c r="C164" s="49"/>
      <c r="D164" s="94"/>
      <c r="E164" s="89"/>
      <c r="F164" s="84"/>
      <c r="G164" s="88"/>
      <c r="H164" s="87"/>
      <c r="I164" s="87"/>
      <c r="J164" s="123"/>
      <c r="K164" s="140"/>
      <c r="L164" s="130"/>
      <c r="M164" s="129"/>
      <c r="N164" s="76"/>
      <c r="O164" s="144"/>
      <c r="P164" s="6"/>
      <c r="Q164" s="165"/>
      <c r="R164" s="8"/>
      <c r="S164" s="110"/>
      <c r="T164" s="103"/>
      <c r="U164" s="103"/>
      <c r="V164" s="104"/>
      <c r="W164" s="29"/>
    </row>
    <row r="165" spans="1:23" x14ac:dyDescent="0.3">
      <c r="A165" s="49"/>
      <c r="B165" s="49"/>
      <c r="C165" s="49"/>
      <c r="D165" s="94"/>
      <c r="E165" s="85"/>
      <c r="F165" s="86"/>
      <c r="G165" s="88"/>
      <c r="H165" s="87"/>
      <c r="I165" s="87"/>
      <c r="J165" s="123"/>
      <c r="K165" s="140"/>
      <c r="L165" s="130"/>
      <c r="M165" s="129"/>
      <c r="N165" s="76"/>
      <c r="O165" s="144"/>
      <c r="P165" s="6"/>
      <c r="Q165" s="16"/>
      <c r="R165" s="9"/>
      <c r="S165" s="110"/>
      <c r="T165" s="103"/>
      <c r="U165" s="103"/>
      <c r="V165" s="104"/>
      <c r="W165" s="29"/>
    </row>
    <row r="166" spans="1:23" x14ac:dyDescent="0.3">
      <c r="A166" s="49"/>
      <c r="B166" s="49"/>
      <c r="C166" s="49"/>
      <c r="D166" s="94"/>
      <c r="E166" s="85"/>
      <c r="F166" s="86"/>
      <c r="G166" s="88"/>
      <c r="H166" s="87"/>
      <c r="I166" s="87"/>
      <c r="J166" s="123"/>
      <c r="K166" s="140"/>
      <c r="L166" s="130"/>
      <c r="M166" s="129"/>
      <c r="N166" s="76"/>
      <c r="O166" s="144"/>
      <c r="P166" s="6"/>
      <c r="Q166" s="16"/>
      <c r="R166" s="9"/>
      <c r="S166" s="110"/>
      <c r="T166" s="103"/>
      <c r="U166" s="103"/>
      <c r="V166" s="104"/>
      <c r="W166" s="29"/>
    </row>
    <row r="167" spans="1:23" x14ac:dyDescent="0.3">
      <c r="A167" s="49"/>
      <c r="B167" s="49"/>
      <c r="C167" s="49"/>
      <c r="D167" s="94"/>
      <c r="E167" s="85"/>
      <c r="F167" s="86"/>
      <c r="G167" s="88"/>
      <c r="H167" s="87"/>
      <c r="I167" s="87"/>
      <c r="J167" s="123"/>
      <c r="K167" s="140"/>
      <c r="L167" s="130"/>
      <c r="M167" s="129"/>
      <c r="N167" s="76"/>
      <c r="O167" s="144"/>
      <c r="P167" s="6"/>
      <c r="Q167" s="165"/>
      <c r="R167" s="8"/>
      <c r="S167" s="13"/>
      <c r="T167" s="103"/>
      <c r="U167" s="103"/>
      <c r="V167" s="104"/>
      <c r="W167" s="29"/>
    </row>
    <row r="168" spans="1:23" x14ac:dyDescent="0.3">
      <c r="A168" s="49"/>
      <c r="B168" s="49"/>
      <c r="C168" s="49"/>
      <c r="D168" s="94"/>
      <c r="E168" s="85"/>
      <c r="F168" s="86"/>
      <c r="G168" s="88"/>
      <c r="H168" s="87"/>
      <c r="I168" s="87"/>
      <c r="J168" s="123"/>
      <c r="K168" s="140"/>
      <c r="L168" s="130"/>
      <c r="M168" s="124"/>
      <c r="N168" s="74"/>
      <c r="O168" s="194"/>
      <c r="P168" s="6"/>
      <c r="Q168" s="165"/>
      <c r="R168" s="106"/>
      <c r="S168" s="110"/>
      <c r="T168" s="103"/>
      <c r="U168" s="103"/>
      <c r="V168" s="104"/>
      <c r="W168" s="29"/>
    </row>
    <row r="169" spans="1:23" x14ac:dyDescent="0.3">
      <c r="A169" s="49"/>
      <c r="B169" s="49"/>
      <c r="C169" s="49"/>
      <c r="D169" s="94"/>
      <c r="E169" s="85"/>
      <c r="F169" s="86"/>
      <c r="G169" s="83"/>
      <c r="H169" s="87"/>
      <c r="I169" s="87"/>
      <c r="J169" s="123"/>
      <c r="K169" s="140"/>
      <c r="L169" s="130"/>
      <c r="M169" s="124"/>
      <c r="N169" s="74"/>
      <c r="O169" s="194"/>
      <c r="P169" s="6"/>
      <c r="Q169" s="165"/>
      <c r="R169" s="106"/>
      <c r="S169" s="110"/>
      <c r="T169" s="103"/>
      <c r="U169" s="103"/>
      <c r="V169" s="104"/>
      <c r="W169" s="29"/>
    </row>
    <row r="170" spans="1:23" x14ac:dyDescent="0.3">
      <c r="A170" s="49"/>
      <c r="B170" s="49"/>
      <c r="C170" s="49"/>
      <c r="D170" s="94"/>
      <c r="E170" s="89"/>
      <c r="F170" s="84"/>
      <c r="G170" s="88"/>
      <c r="H170" s="87"/>
      <c r="I170" s="87"/>
      <c r="J170" s="123"/>
      <c r="K170" s="140"/>
      <c r="L170" s="130"/>
      <c r="M170" s="124"/>
      <c r="N170" s="74"/>
      <c r="O170" s="194"/>
      <c r="P170" s="6"/>
      <c r="Q170" s="165"/>
      <c r="R170" s="9"/>
      <c r="S170" s="110"/>
      <c r="T170" s="103"/>
      <c r="U170" s="103"/>
      <c r="V170" s="104"/>
      <c r="W170" s="29"/>
    </row>
    <row r="171" spans="1:23" x14ac:dyDescent="0.3">
      <c r="A171" s="49"/>
      <c r="B171" s="49"/>
      <c r="C171" s="49"/>
      <c r="D171" s="94"/>
      <c r="E171" s="89"/>
      <c r="F171" s="84"/>
      <c r="G171" s="89"/>
      <c r="H171" s="84"/>
      <c r="I171" s="87"/>
      <c r="J171" s="123"/>
      <c r="K171" s="140"/>
      <c r="L171" s="130"/>
      <c r="M171" s="124"/>
      <c r="N171" s="74"/>
      <c r="O171" s="194"/>
      <c r="P171" s="6"/>
      <c r="Q171" s="165"/>
      <c r="R171" s="9"/>
      <c r="S171" s="110"/>
      <c r="T171" s="103"/>
      <c r="U171" s="103"/>
      <c r="V171" s="104"/>
      <c r="W171" s="29"/>
    </row>
    <row r="172" spans="1:23" x14ac:dyDescent="0.3">
      <c r="A172" s="49"/>
      <c r="B172" s="49"/>
      <c r="C172" s="49"/>
      <c r="D172" s="94"/>
      <c r="E172" s="89"/>
      <c r="F172" s="84"/>
      <c r="G172" s="89"/>
      <c r="H172" s="84"/>
      <c r="I172" s="87"/>
      <c r="J172" s="123"/>
      <c r="K172" s="140"/>
      <c r="L172" s="130"/>
      <c r="M172" s="124"/>
      <c r="N172" s="74"/>
      <c r="O172" s="194"/>
      <c r="P172" s="6"/>
      <c r="Q172" s="16"/>
      <c r="R172" s="9"/>
      <c r="S172" s="110"/>
      <c r="T172" s="103"/>
      <c r="U172" s="103"/>
      <c r="V172" s="104"/>
      <c r="W172" s="29"/>
    </row>
    <row r="173" spans="1:23" x14ac:dyDescent="0.3">
      <c r="A173" s="49"/>
      <c r="B173" s="49"/>
      <c r="C173" s="49"/>
      <c r="D173" s="94"/>
      <c r="E173" s="89"/>
      <c r="F173" s="84"/>
      <c r="G173" s="88"/>
      <c r="H173" s="87"/>
      <c r="I173" s="87"/>
      <c r="J173" s="123"/>
      <c r="K173" s="140"/>
      <c r="L173" s="130"/>
      <c r="M173" s="129"/>
      <c r="N173" s="76"/>
      <c r="O173" s="144"/>
      <c r="P173" s="6"/>
      <c r="Q173" s="16"/>
      <c r="R173" s="9"/>
      <c r="S173" s="110"/>
      <c r="T173" s="103"/>
      <c r="U173" s="103"/>
      <c r="V173" s="104"/>
      <c r="W173" s="29"/>
    </row>
    <row r="174" spans="1:23" x14ac:dyDescent="0.3">
      <c r="A174" s="49"/>
      <c r="B174" s="49"/>
      <c r="C174" s="49"/>
      <c r="D174" s="94"/>
      <c r="E174" s="85"/>
      <c r="F174" s="86"/>
      <c r="G174" s="88"/>
      <c r="H174" s="87"/>
      <c r="I174" s="87"/>
      <c r="J174" s="123"/>
      <c r="K174" s="140"/>
      <c r="L174" s="130"/>
      <c r="M174" s="129"/>
      <c r="N174" s="76"/>
      <c r="O174" s="144"/>
      <c r="P174" s="6"/>
      <c r="Q174" s="165"/>
      <c r="R174" s="9"/>
      <c r="S174" s="110"/>
      <c r="T174" s="103"/>
      <c r="U174" s="103"/>
      <c r="V174" s="104"/>
      <c r="W174" s="29"/>
    </row>
    <row r="175" spans="1:23" x14ac:dyDescent="0.3">
      <c r="A175" s="49"/>
      <c r="B175" s="49"/>
      <c r="C175" s="49"/>
      <c r="D175" s="94"/>
      <c r="E175" s="85"/>
      <c r="F175" s="86"/>
      <c r="G175" s="89"/>
      <c r="H175" s="84"/>
      <c r="I175" s="87"/>
      <c r="J175" s="123"/>
      <c r="K175" s="140"/>
      <c r="L175" s="130"/>
      <c r="M175" s="129"/>
      <c r="N175" s="76"/>
      <c r="O175" s="144"/>
      <c r="P175" s="6"/>
      <c r="Q175" s="16"/>
      <c r="R175" s="9"/>
      <c r="S175" s="13"/>
      <c r="T175" s="103"/>
      <c r="U175" s="103"/>
      <c r="V175" s="104"/>
      <c r="W175" s="29"/>
    </row>
    <row r="176" spans="1:23" x14ac:dyDescent="0.3">
      <c r="A176" s="49"/>
      <c r="B176" s="49"/>
      <c r="C176" s="49"/>
      <c r="D176" s="94"/>
      <c r="E176" s="85"/>
      <c r="F176" s="86"/>
      <c r="G176" s="88"/>
      <c r="H176" s="87"/>
      <c r="I176" s="87"/>
      <c r="J176" s="123"/>
      <c r="K176" s="140"/>
      <c r="L176" s="130"/>
      <c r="M176" s="129"/>
      <c r="N176" s="76"/>
      <c r="O176" s="144"/>
      <c r="P176" s="6"/>
      <c r="Q176" s="16"/>
      <c r="R176" s="9"/>
      <c r="S176" s="110"/>
      <c r="T176" s="103"/>
      <c r="U176" s="103"/>
      <c r="V176" s="104"/>
      <c r="W176" s="29"/>
    </row>
    <row r="177" spans="1:23" x14ac:dyDescent="0.3">
      <c r="A177" s="49"/>
      <c r="B177" s="49"/>
      <c r="C177" s="49"/>
      <c r="D177" s="94"/>
      <c r="E177" s="85"/>
      <c r="F177" s="86"/>
      <c r="G177" s="89"/>
      <c r="H177" s="84"/>
      <c r="I177" s="87"/>
      <c r="J177" s="123"/>
      <c r="K177" s="140"/>
      <c r="L177" s="130"/>
      <c r="M177" s="129"/>
      <c r="N177" s="76"/>
      <c r="O177" s="144"/>
      <c r="P177" s="6"/>
      <c r="Q177" s="16"/>
      <c r="R177" s="8"/>
      <c r="S177" s="110"/>
      <c r="T177" s="103"/>
      <c r="U177" s="103"/>
      <c r="V177" s="104"/>
      <c r="W177" s="29"/>
    </row>
    <row r="178" spans="1:23" x14ac:dyDescent="0.3">
      <c r="A178" s="49"/>
      <c r="B178" s="49"/>
      <c r="C178" s="49"/>
      <c r="D178" s="94"/>
      <c r="E178" s="85"/>
      <c r="F178" s="86"/>
      <c r="G178" s="89"/>
      <c r="H178" s="84"/>
      <c r="I178" s="87"/>
      <c r="J178" s="123"/>
      <c r="K178" s="140"/>
      <c r="L178" s="130"/>
      <c r="M178" s="129"/>
      <c r="N178" s="76"/>
      <c r="O178" s="144"/>
      <c r="P178" s="6"/>
      <c r="Q178" s="16"/>
      <c r="R178" s="106"/>
      <c r="S178" s="110"/>
      <c r="T178" s="103"/>
      <c r="U178" s="103"/>
      <c r="V178" s="104"/>
      <c r="W178" s="29"/>
    </row>
    <row r="179" spans="1:23" x14ac:dyDescent="0.3">
      <c r="A179" s="49"/>
      <c r="B179" s="49"/>
      <c r="C179" s="49"/>
      <c r="D179" s="94"/>
      <c r="E179" s="85"/>
      <c r="F179" s="86"/>
      <c r="G179" s="88"/>
      <c r="H179" s="87"/>
      <c r="I179" s="87"/>
      <c r="J179" s="123"/>
      <c r="K179" s="140"/>
      <c r="L179" s="130"/>
      <c r="M179" s="124"/>
      <c r="N179" s="74"/>
      <c r="O179" s="194"/>
      <c r="P179" s="6"/>
      <c r="Q179" s="165"/>
      <c r="R179" s="8"/>
      <c r="S179" s="110"/>
      <c r="T179" s="103"/>
      <c r="U179" s="103"/>
      <c r="V179" s="104"/>
      <c r="W179" s="29"/>
    </row>
    <row r="180" spans="1:23" x14ac:dyDescent="0.3">
      <c r="A180" s="49"/>
      <c r="B180" s="49"/>
      <c r="C180" s="49"/>
      <c r="D180" s="94"/>
      <c r="E180" s="89"/>
      <c r="F180" s="84"/>
      <c r="G180" s="88"/>
      <c r="H180" s="87"/>
      <c r="I180" s="87"/>
      <c r="J180" s="123"/>
      <c r="K180" s="140"/>
      <c r="L180" s="130"/>
      <c r="M180" s="124"/>
      <c r="N180" s="74"/>
      <c r="O180" s="194"/>
      <c r="P180" s="6"/>
      <c r="Q180" s="165"/>
      <c r="R180" s="106"/>
      <c r="S180" s="13"/>
      <c r="T180" s="103"/>
      <c r="U180" s="103"/>
      <c r="V180" s="104"/>
      <c r="W180" s="29"/>
    </row>
    <row r="181" spans="1:23" x14ac:dyDescent="0.3">
      <c r="A181" s="49"/>
      <c r="B181" s="49"/>
      <c r="C181" s="49"/>
      <c r="D181" s="94"/>
      <c r="E181" s="89"/>
      <c r="F181" s="84"/>
      <c r="G181" s="88"/>
      <c r="H181" s="87"/>
      <c r="I181" s="87"/>
      <c r="J181" s="123"/>
      <c r="K181" s="140"/>
      <c r="L181" s="130"/>
      <c r="M181" s="129"/>
      <c r="N181" s="76"/>
      <c r="O181" s="144"/>
      <c r="P181" s="6"/>
      <c r="Q181" s="16"/>
      <c r="R181" s="9"/>
      <c r="S181" s="110"/>
      <c r="T181" s="103"/>
      <c r="U181" s="103"/>
      <c r="V181" s="104"/>
      <c r="W181" s="29"/>
    </row>
    <row r="182" spans="1:23" x14ac:dyDescent="0.3">
      <c r="A182" s="49"/>
      <c r="B182" s="49"/>
      <c r="C182" s="49"/>
      <c r="D182" s="94"/>
      <c r="E182" s="85"/>
      <c r="F182" s="86"/>
      <c r="G182" s="88"/>
      <c r="H182" s="87"/>
      <c r="I182" s="87"/>
      <c r="J182" s="123"/>
      <c r="K182" s="140"/>
      <c r="L182" s="130"/>
      <c r="M182" s="124"/>
      <c r="N182" s="74"/>
      <c r="O182" s="194"/>
      <c r="P182" s="6"/>
      <c r="Q182" s="165"/>
      <c r="R182" s="9"/>
      <c r="S182" s="110"/>
      <c r="T182" s="103"/>
      <c r="U182" s="103"/>
      <c r="V182" s="104"/>
      <c r="W182" s="29"/>
    </row>
    <row r="183" spans="1:23" x14ac:dyDescent="0.3">
      <c r="A183" s="49"/>
      <c r="B183" s="49"/>
      <c r="C183" s="49"/>
      <c r="D183" s="94"/>
      <c r="E183" s="89"/>
      <c r="F183" s="84"/>
      <c r="G183" s="88"/>
      <c r="H183" s="87"/>
      <c r="I183" s="87"/>
      <c r="J183" s="123"/>
      <c r="K183" s="140"/>
      <c r="L183" s="130"/>
      <c r="M183" s="129"/>
      <c r="N183" s="76"/>
      <c r="O183" s="194"/>
      <c r="P183" s="6"/>
      <c r="Q183" s="165"/>
      <c r="R183" s="8"/>
      <c r="S183" s="110"/>
      <c r="T183" s="103"/>
      <c r="U183" s="103"/>
      <c r="V183" s="104"/>
      <c r="W183" s="29"/>
    </row>
    <row r="184" spans="1:23" x14ac:dyDescent="0.3">
      <c r="A184" s="49"/>
      <c r="B184" s="49"/>
      <c r="C184" s="49"/>
      <c r="D184" s="94"/>
      <c r="E184" s="85"/>
      <c r="F184" s="86"/>
      <c r="G184" s="89"/>
      <c r="H184" s="84"/>
      <c r="I184" s="84"/>
      <c r="J184" s="119"/>
      <c r="K184" s="140"/>
      <c r="L184" s="131"/>
      <c r="M184" s="129"/>
      <c r="N184" s="76"/>
      <c r="O184" s="144"/>
      <c r="P184" s="6"/>
      <c r="Q184" s="16"/>
      <c r="R184" s="8"/>
      <c r="S184" s="110"/>
      <c r="T184" s="103"/>
      <c r="U184" s="103"/>
      <c r="V184" s="104"/>
      <c r="W184" s="29"/>
    </row>
    <row r="185" spans="1:23" x14ac:dyDescent="0.3">
      <c r="A185" s="49"/>
      <c r="B185" s="49"/>
      <c r="C185" s="49"/>
      <c r="D185" s="94"/>
      <c r="E185" s="85"/>
      <c r="F185" s="86"/>
      <c r="G185" s="85"/>
      <c r="H185" s="86"/>
      <c r="I185" s="87"/>
      <c r="J185" s="123"/>
      <c r="K185" s="140"/>
      <c r="L185" s="130"/>
      <c r="M185" s="129"/>
      <c r="N185" s="76"/>
      <c r="O185" s="144"/>
      <c r="P185" s="6"/>
      <c r="Q185" s="16"/>
      <c r="R185" s="8"/>
      <c r="S185" s="13"/>
      <c r="T185" s="103"/>
      <c r="U185" s="103"/>
      <c r="V185" s="104"/>
      <c r="W185" s="29"/>
    </row>
    <row r="186" spans="1:23" x14ac:dyDescent="0.3">
      <c r="A186" s="49"/>
      <c r="B186" s="49"/>
      <c r="C186" s="49"/>
      <c r="D186" s="94"/>
      <c r="E186" s="85"/>
      <c r="F186" s="86"/>
      <c r="G186" s="85"/>
      <c r="H186" s="86"/>
      <c r="I186" s="87"/>
      <c r="J186" s="123"/>
      <c r="K186" s="140"/>
      <c r="L186" s="130"/>
      <c r="M186" s="129"/>
      <c r="N186" s="76"/>
      <c r="O186" s="144"/>
      <c r="P186" s="6"/>
      <c r="Q186" s="16"/>
      <c r="R186" s="9"/>
      <c r="S186" s="13"/>
      <c r="T186" s="103"/>
      <c r="U186" s="103"/>
      <c r="V186" s="104"/>
      <c r="W186" s="29"/>
    </row>
    <row r="187" spans="1:23" x14ac:dyDescent="0.3">
      <c r="A187" s="49"/>
      <c r="B187" s="49"/>
      <c r="C187" s="49"/>
      <c r="D187" s="94"/>
      <c r="E187" s="85"/>
      <c r="F187" s="86"/>
      <c r="G187" s="88"/>
      <c r="H187" s="87"/>
      <c r="I187" s="87"/>
      <c r="J187" s="123"/>
      <c r="K187" s="140"/>
      <c r="L187" s="130"/>
      <c r="M187" s="129"/>
      <c r="N187" s="76"/>
      <c r="O187" s="194"/>
      <c r="P187" s="6"/>
      <c r="Q187" s="16"/>
      <c r="R187" s="9"/>
      <c r="S187" s="13"/>
      <c r="T187" s="103"/>
      <c r="U187" s="103"/>
      <c r="V187" s="104"/>
      <c r="W187" s="29"/>
    </row>
    <row r="188" spans="1:23" x14ac:dyDescent="0.3">
      <c r="A188" s="49"/>
      <c r="B188" s="49"/>
      <c r="C188" s="49"/>
      <c r="D188" s="94"/>
      <c r="E188" s="85"/>
      <c r="F188" s="86"/>
      <c r="G188" s="88"/>
      <c r="H188" s="87"/>
      <c r="I188" s="87"/>
      <c r="J188" s="123"/>
      <c r="K188" s="140"/>
      <c r="L188" s="130"/>
      <c r="M188" s="129"/>
      <c r="N188" s="76"/>
      <c r="O188" s="194"/>
      <c r="P188" s="6"/>
      <c r="Q188" s="16"/>
      <c r="R188" s="106"/>
      <c r="S188" s="13"/>
      <c r="T188" s="103"/>
      <c r="U188" s="103"/>
      <c r="V188" s="104"/>
      <c r="W188" s="29"/>
    </row>
    <row r="189" spans="1:23" x14ac:dyDescent="0.3">
      <c r="A189" s="49"/>
      <c r="B189" s="49"/>
      <c r="C189" s="49"/>
      <c r="D189" s="94"/>
      <c r="E189" s="85"/>
      <c r="F189" s="86"/>
      <c r="G189" s="89"/>
      <c r="H189" s="84"/>
      <c r="I189" s="84"/>
      <c r="J189" s="119"/>
      <c r="K189" s="140"/>
      <c r="L189" s="131"/>
      <c r="M189" s="128"/>
      <c r="N189" s="75"/>
      <c r="O189" s="152"/>
      <c r="P189" s="6"/>
      <c r="Q189" s="16"/>
      <c r="R189" s="106"/>
      <c r="S189" s="110"/>
      <c r="T189" s="103"/>
      <c r="U189" s="103"/>
      <c r="V189" s="104"/>
      <c r="W189" s="29"/>
    </row>
    <row r="190" spans="1:23" x14ac:dyDescent="0.3">
      <c r="A190" s="49"/>
      <c r="B190" s="49"/>
      <c r="C190" s="49"/>
      <c r="D190" s="94"/>
      <c r="E190" s="85"/>
      <c r="F190" s="86"/>
      <c r="G190" s="85"/>
      <c r="H190" s="86"/>
      <c r="I190" s="87"/>
      <c r="J190" s="123"/>
      <c r="K190" s="140"/>
      <c r="L190" s="130"/>
      <c r="M190" s="128"/>
      <c r="N190" s="75"/>
      <c r="O190" s="152"/>
      <c r="P190" s="6"/>
      <c r="Q190" s="165"/>
      <c r="R190" s="8"/>
      <c r="S190" s="13"/>
      <c r="T190" s="103"/>
      <c r="U190" s="103"/>
      <c r="V190" s="104"/>
      <c r="W190" s="29"/>
    </row>
    <row r="191" spans="1:23" x14ac:dyDescent="0.3">
      <c r="A191" s="49"/>
      <c r="B191" s="49"/>
      <c r="C191" s="49"/>
      <c r="D191" s="94"/>
      <c r="E191" s="85"/>
      <c r="F191" s="86"/>
      <c r="G191" s="89"/>
      <c r="H191" s="84"/>
      <c r="I191" s="84"/>
      <c r="J191" s="119"/>
      <c r="K191" s="140"/>
      <c r="L191" s="131"/>
      <c r="M191" s="128"/>
      <c r="N191" s="75"/>
      <c r="O191" s="152"/>
      <c r="P191" s="6"/>
      <c r="Q191" s="16"/>
      <c r="R191" s="9"/>
      <c r="S191" s="13"/>
      <c r="T191" s="103"/>
      <c r="U191" s="103"/>
      <c r="V191" s="104"/>
      <c r="W191" s="29"/>
    </row>
    <row r="192" spans="1:23" x14ac:dyDescent="0.3">
      <c r="A192" s="49"/>
      <c r="B192" s="49"/>
      <c r="C192" s="49"/>
      <c r="D192" s="94"/>
      <c r="E192" s="85"/>
      <c r="F192" s="86"/>
      <c r="G192" s="85"/>
      <c r="H192" s="86"/>
      <c r="I192" s="85"/>
      <c r="J192" s="125"/>
      <c r="K192" s="140"/>
      <c r="L192" s="132"/>
      <c r="M192" s="129"/>
      <c r="N192" s="76"/>
      <c r="O192" s="194"/>
      <c r="P192" s="6"/>
      <c r="Q192" s="16"/>
      <c r="R192" s="8"/>
      <c r="S192" s="13"/>
      <c r="T192" s="103"/>
      <c r="U192" s="103"/>
      <c r="V192" s="104"/>
      <c r="W192" s="29"/>
    </row>
    <row r="193" spans="1:23" x14ac:dyDescent="0.3">
      <c r="A193" s="49"/>
      <c r="B193" s="49"/>
      <c r="C193" s="49"/>
      <c r="D193" s="94"/>
      <c r="E193" s="85"/>
      <c r="F193" s="86"/>
      <c r="G193" s="89"/>
      <c r="H193" s="84"/>
      <c r="I193" s="84"/>
      <c r="J193" s="119"/>
      <c r="K193" s="140"/>
      <c r="L193" s="131"/>
      <c r="M193" s="129"/>
      <c r="N193" s="76"/>
      <c r="O193" s="144"/>
      <c r="P193" s="6"/>
      <c r="Q193" s="16"/>
      <c r="R193" s="106"/>
      <c r="S193" s="13"/>
      <c r="T193" s="103"/>
      <c r="U193" s="103"/>
      <c r="V193" s="104"/>
      <c r="W193" s="29"/>
    </row>
    <row r="194" spans="1:23" x14ac:dyDescent="0.3">
      <c r="A194" s="49"/>
      <c r="B194" s="49"/>
      <c r="C194" s="49"/>
      <c r="D194" s="94"/>
      <c r="E194" s="85"/>
      <c r="F194" s="86"/>
      <c r="G194" s="88"/>
      <c r="H194" s="87"/>
      <c r="I194" s="87"/>
      <c r="J194" s="123"/>
      <c r="K194" s="140"/>
      <c r="L194" s="130"/>
      <c r="M194" s="129"/>
      <c r="N194" s="76"/>
      <c r="O194" s="144"/>
      <c r="P194" s="6"/>
      <c r="Q194" s="16"/>
      <c r="R194" s="8"/>
      <c r="S194" s="110"/>
      <c r="T194" s="103"/>
      <c r="U194" s="103"/>
      <c r="V194" s="104"/>
      <c r="W194" s="29"/>
    </row>
    <row r="195" spans="1:23" x14ac:dyDescent="0.3">
      <c r="A195" s="49"/>
      <c r="B195" s="49"/>
      <c r="C195" s="49"/>
      <c r="D195" s="94"/>
      <c r="E195" s="85"/>
      <c r="F195" s="86"/>
      <c r="G195" s="88"/>
      <c r="H195" s="87"/>
      <c r="I195" s="87"/>
      <c r="J195" s="123"/>
      <c r="K195" s="140"/>
      <c r="L195" s="130"/>
      <c r="M195" s="129"/>
      <c r="N195" s="76"/>
      <c r="O195" s="144"/>
      <c r="P195" s="6"/>
      <c r="Q195" s="16"/>
      <c r="R195" s="106"/>
      <c r="S195" s="110"/>
      <c r="T195" s="103"/>
      <c r="U195" s="103"/>
      <c r="V195" s="104"/>
      <c r="W195" s="29"/>
    </row>
    <row r="196" spans="1:23" x14ac:dyDescent="0.3">
      <c r="A196" s="49"/>
      <c r="B196" s="49"/>
      <c r="C196" s="49"/>
      <c r="D196" s="94"/>
      <c r="E196" s="85"/>
      <c r="F196" s="86"/>
      <c r="G196" s="85"/>
      <c r="H196" s="86"/>
      <c r="I196" s="87"/>
      <c r="J196" s="123"/>
      <c r="K196" s="140"/>
      <c r="L196" s="130"/>
      <c r="M196" s="129"/>
      <c r="N196" s="76"/>
      <c r="O196" s="194"/>
      <c r="P196" s="6"/>
      <c r="Q196" s="16"/>
      <c r="R196" s="9"/>
      <c r="S196" s="110"/>
      <c r="T196" s="103"/>
      <c r="U196" s="103"/>
      <c r="V196" s="104"/>
      <c r="W196" s="29"/>
    </row>
    <row r="197" spans="1:23" x14ac:dyDescent="0.3">
      <c r="A197" s="49"/>
      <c r="B197" s="49"/>
      <c r="C197" s="49"/>
      <c r="D197" s="94"/>
      <c r="E197" s="85"/>
      <c r="F197" s="86"/>
      <c r="G197" s="89"/>
      <c r="H197" s="84"/>
      <c r="I197" s="84"/>
      <c r="J197" s="119"/>
      <c r="K197" s="140"/>
      <c r="L197" s="131"/>
      <c r="M197" s="129"/>
      <c r="N197" s="76"/>
      <c r="O197" s="194"/>
      <c r="P197" s="6"/>
      <c r="Q197" s="165"/>
      <c r="R197" s="106"/>
      <c r="S197" s="13"/>
      <c r="T197" s="103"/>
      <c r="U197" s="103"/>
      <c r="V197" s="104"/>
      <c r="W197" s="29"/>
    </row>
    <row r="198" spans="1:23" x14ac:dyDescent="0.3">
      <c r="A198" s="49"/>
      <c r="B198" s="49"/>
      <c r="C198" s="49"/>
      <c r="D198" s="94"/>
      <c r="E198" s="85"/>
      <c r="F198" s="86"/>
      <c r="G198" s="88"/>
      <c r="H198" s="87"/>
      <c r="I198" s="87"/>
      <c r="J198" s="123"/>
      <c r="K198" s="140"/>
      <c r="L198" s="130"/>
      <c r="M198" s="129"/>
      <c r="N198" s="76"/>
      <c r="O198" s="144"/>
      <c r="P198" s="6"/>
      <c r="Q198" s="16"/>
      <c r="R198" s="8"/>
      <c r="S198" s="110"/>
      <c r="T198" s="103"/>
      <c r="U198" s="103"/>
      <c r="V198" s="104"/>
      <c r="W198" s="29"/>
    </row>
    <row r="199" spans="1:23" x14ac:dyDescent="0.3">
      <c r="A199" s="49"/>
      <c r="B199" s="49"/>
      <c r="C199" s="49"/>
      <c r="D199" s="94"/>
      <c r="E199" s="85"/>
      <c r="F199" s="86"/>
      <c r="G199" s="88"/>
      <c r="H199" s="87"/>
      <c r="I199" s="87"/>
      <c r="J199" s="123"/>
      <c r="K199" s="140"/>
      <c r="L199" s="130"/>
      <c r="M199" s="129"/>
      <c r="N199" s="76"/>
      <c r="O199" s="144"/>
      <c r="P199" s="6"/>
      <c r="Q199" s="16"/>
      <c r="R199" s="106"/>
      <c r="S199" s="13"/>
      <c r="T199" s="103"/>
      <c r="U199" s="103"/>
      <c r="V199" s="104"/>
      <c r="W199" s="29"/>
    </row>
    <row r="200" spans="1:23" x14ac:dyDescent="0.3">
      <c r="A200" s="49"/>
      <c r="B200" s="49"/>
      <c r="C200" s="49"/>
      <c r="D200" s="94"/>
      <c r="E200" s="85"/>
      <c r="F200" s="86"/>
      <c r="G200" s="88"/>
      <c r="H200" s="87"/>
      <c r="I200" s="87"/>
      <c r="J200" s="123"/>
      <c r="K200" s="140"/>
      <c r="L200" s="130"/>
      <c r="M200" s="129"/>
      <c r="N200" s="76"/>
      <c r="O200" s="194"/>
      <c r="P200" s="6"/>
      <c r="Q200" s="165"/>
      <c r="R200" s="106"/>
      <c r="S200" s="110"/>
      <c r="T200" s="103"/>
      <c r="U200" s="103"/>
      <c r="V200" s="104"/>
      <c r="W200" s="29"/>
    </row>
    <row r="201" spans="1:23" x14ac:dyDescent="0.3">
      <c r="A201" s="49"/>
      <c r="B201" s="49"/>
      <c r="C201" s="49"/>
      <c r="D201" s="94"/>
      <c r="E201" s="85"/>
      <c r="F201" s="86"/>
      <c r="G201" s="88"/>
      <c r="H201" s="87"/>
      <c r="I201" s="87"/>
      <c r="J201" s="123"/>
      <c r="K201" s="140"/>
      <c r="L201" s="130"/>
      <c r="M201" s="129"/>
      <c r="N201" s="76"/>
      <c r="O201" s="144"/>
      <c r="P201" s="6"/>
      <c r="Q201" s="165"/>
      <c r="R201" s="9"/>
      <c r="S201" s="110"/>
      <c r="T201" s="103"/>
      <c r="U201" s="103"/>
      <c r="V201" s="104"/>
      <c r="W201" s="29"/>
    </row>
    <row r="202" spans="1:23" x14ac:dyDescent="0.3">
      <c r="A202" s="49"/>
      <c r="B202" s="49"/>
      <c r="C202" s="49"/>
      <c r="D202" s="94"/>
      <c r="E202" s="85"/>
      <c r="F202" s="86"/>
      <c r="G202" s="88"/>
      <c r="H202" s="87"/>
      <c r="I202" s="87"/>
      <c r="J202" s="123"/>
      <c r="K202" s="140"/>
      <c r="L202" s="130"/>
      <c r="M202" s="129"/>
      <c r="N202" s="76"/>
      <c r="O202" s="144"/>
      <c r="P202" s="6"/>
      <c r="Q202" s="16"/>
      <c r="R202" s="9"/>
      <c r="S202" s="13"/>
      <c r="T202" s="103"/>
      <c r="U202" s="103"/>
      <c r="V202" s="104"/>
      <c r="W202" s="29"/>
    </row>
    <row r="203" spans="1:23" x14ac:dyDescent="0.3">
      <c r="A203" s="49"/>
      <c r="B203" s="49"/>
      <c r="C203" s="49"/>
      <c r="D203" s="94"/>
      <c r="E203" s="85"/>
      <c r="F203" s="86"/>
      <c r="G203" s="88"/>
      <c r="H203" s="87"/>
      <c r="I203" s="87"/>
      <c r="J203" s="123"/>
      <c r="K203" s="140"/>
      <c r="L203" s="130"/>
      <c r="M203" s="129"/>
      <c r="N203" s="76"/>
      <c r="O203" s="144"/>
      <c r="P203" s="6"/>
      <c r="Q203" s="16"/>
      <c r="R203" s="9"/>
      <c r="S203" s="110"/>
      <c r="T203" s="103"/>
      <c r="U203" s="103"/>
      <c r="V203" s="104"/>
      <c r="W203" s="29"/>
    </row>
    <row r="204" spans="1:23" x14ac:dyDescent="0.3">
      <c r="A204" s="49"/>
      <c r="B204" s="49"/>
      <c r="C204" s="49"/>
      <c r="D204" s="94"/>
      <c r="E204" s="85"/>
      <c r="F204" s="86"/>
      <c r="G204" s="89"/>
      <c r="H204" s="84"/>
      <c r="I204" s="84"/>
      <c r="J204" s="119"/>
      <c r="K204" s="140"/>
      <c r="L204" s="131"/>
      <c r="M204" s="129"/>
      <c r="N204" s="76"/>
      <c r="O204" s="144"/>
      <c r="P204" s="6"/>
      <c r="Q204" s="16"/>
      <c r="R204" s="9"/>
      <c r="S204" s="13"/>
      <c r="T204" s="103"/>
      <c r="U204" s="103"/>
      <c r="V204" s="104"/>
      <c r="W204" s="29"/>
    </row>
    <row r="205" spans="1:23" x14ac:dyDescent="0.3">
      <c r="A205" s="49"/>
      <c r="B205" s="49"/>
      <c r="C205" s="49"/>
      <c r="D205" s="94"/>
      <c r="E205" s="85"/>
      <c r="F205" s="86"/>
      <c r="G205" s="88"/>
      <c r="H205" s="87"/>
      <c r="I205" s="87"/>
      <c r="J205" s="123"/>
      <c r="K205" s="140"/>
      <c r="L205" s="130"/>
      <c r="M205" s="129"/>
      <c r="N205" s="76"/>
      <c r="O205" s="144"/>
      <c r="P205" s="6"/>
      <c r="Q205" s="16"/>
      <c r="R205" s="9"/>
      <c r="S205" s="13"/>
      <c r="T205" s="103"/>
      <c r="U205" s="103"/>
      <c r="V205" s="104"/>
      <c r="W205" s="29"/>
    </row>
    <row r="206" spans="1:23" x14ac:dyDescent="0.3">
      <c r="A206" s="49"/>
      <c r="B206" s="49"/>
      <c r="C206" s="49"/>
      <c r="D206" s="94"/>
      <c r="E206" s="85"/>
      <c r="F206" s="86"/>
      <c r="G206" s="88"/>
      <c r="H206" s="87"/>
      <c r="I206" s="87"/>
      <c r="J206" s="123"/>
      <c r="K206" s="140"/>
      <c r="L206" s="130"/>
      <c r="M206" s="129"/>
      <c r="N206" s="76"/>
      <c r="O206" s="144"/>
      <c r="P206" s="6"/>
      <c r="Q206" s="16"/>
      <c r="R206" s="106"/>
      <c r="S206" s="110"/>
      <c r="T206" s="103"/>
      <c r="U206" s="103"/>
      <c r="V206" s="104"/>
      <c r="W206" s="29"/>
    </row>
    <row r="207" spans="1:23" x14ac:dyDescent="0.3">
      <c r="A207" s="49"/>
      <c r="B207" s="49"/>
      <c r="C207" s="49"/>
      <c r="D207" s="94"/>
      <c r="E207" s="89"/>
      <c r="F207" s="84"/>
      <c r="G207" s="89"/>
      <c r="H207" s="84"/>
      <c r="I207" s="84"/>
      <c r="J207" s="119"/>
      <c r="K207" s="140"/>
      <c r="L207" s="131"/>
      <c r="M207" s="129"/>
      <c r="N207" s="76"/>
      <c r="O207" s="144"/>
      <c r="P207" s="6"/>
      <c r="Q207" s="165"/>
      <c r="R207" s="8"/>
      <c r="S207" s="13"/>
      <c r="T207" s="103"/>
      <c r="U207" s="103"/>
      <c r="V207" s="104"/>
      <c r="W207" s="29"/>
    </row>
    <row r="208" spans="1:23" x14ac:dyDescent="0.3">
      <c r="A208" s="49"/>
      <c r="B208" s="49"/>
      <c r="C208" s="49"/>
      <c r="D208" s="94"/>
      <c r="E208" s="85"/>
      <c r="F208" s="86"/>
      <c r="G208" s="88"/>
      <c r="H208" s="87"/>
      <c r="I208" s="87"/>
      <c r="J208" s="123"/>
      <c r="K208" s="140"/>
      <c r="L208" s="130"/>
      <c r="M208" s="129"/>
      <c r="N208" s="76"/>
      <c r="O208" s="144"/>
      <c r="P208" s="6"/>
      <c r="Q208" s="16"/>
      <c r="R208" s="9"/>
      <c r="S208" s="13"/>
      <c r="T208" s="103"/>
      <c r="U208" s="103"/>
      <c r="V208" s="104"/>
      <c r="W208" s="29"/>
    </row>
    <row r="209" spans="1:23" x14ac:dyDescent="0.3">
      <c r="A209" s="49"/>
      <c r="B209" s="49"/>
      <c r="C209" s="49"/>
      <c r="D209" s="94"/>
      <c r="E209" s="85"/>
      <c r="F209" s="86"/>
      <c r="G209" s="85"/>
      <c r="H209" s="86"/>
      <c r="I209" s="87"/>
      <c r="J209" s="123"/>
      <c r="K209" s="140"/>
      <c r="L209" s="130"/>
      <c r="M209" s="129"/>
      <c r="N209" s="76"/>
      <c r="O209" s="194"/>
      <c r="P209" s="6"/>
      <c r="Q209" s="165"/>
      <c r="R209" s="8"/>
      <c r="S209" s="110"/>
      <c r="T209" s="103"/>
      <c r="U209" s="103"/>
      <c r="V209" s="104"/>
      <c r="W209" s="29"/>
    </row>
    <row r="210" spans="1:23" x14ac:dyDescent="0.3">
      <c r="A210" s="49"/>
      <c r="B210" s="49"/>
      <c r="C210" s="49"/>
      <c r="D210" s="94"/>
      <c r="E210" s="85"/>
      <c r="F210" s="86"/>
      <c r="G210" s="88"/>
      <c r="H210" s="87"/>
      <c r="I210" s="87"/>
      <c r="J210" s="123"/>
      <c r="K210" s="140"/>
      <c r="L210" s="130"/>
      <c r="M210" s="129"/>
      <c r="N210" s="76"/>
      <c r="O210" s="144"/>
      <c r="P210" s="6"/>
      <c r="Q210" s="16"/>
      <c r="R210" s="9"/>
      <c r="S210" s="13"/>
      <c r="T210" s="103"/>
      <c r="U210" s="103"/>
      <c r="V210" s="104"/>
      <c r="W210" s="29"/>
    </row>
    <row r="211" spans="1:23" x14ac:dyDescent="0.3">
      <c r="A211" s="49"/>
      <c r="B211" s="49"/>
      <c r="C211" s="49"/>
      <c r="D211" s="94"/>
      <c r="E211" s="85"/>
      <c r="F211" s="86"/>
      <c r="G211" s="89"/>
      <c r="H211" s="84"/>
      <c r="I211" s="84"/>
      <c r="J211" s="119"/>
      <c r="K211" s="140"/>
      <c r="L211" s="131"/>
      <c r="M211" s="129"/>
      <c r="N211" s="76"/>
      <c r="O211" s="144"/>
      <c r="P211" s="6"/>
      <c r="Q211" s="165"/>
      <c r="R211" s="8"/>
      <c r="S211" s="110"/>
      <c r="T211" s="103"/>
      <c r="U211" s="103"/>
      <c r="V211" s="104"/>
      <c r="W211" s="29"/>
    </row>
    <row r="212" spans="1:23" x14ac:dyDescent="0.3">
      <c r="A212" s="49"/>
      <c r="B212" s="49"/>
      <c r="C212" s="49"/>
      <c r="D212" s="94"/>
      <c r="E212" s="85"/>
      <c r="F212" s="86"/>
      <c r="G212" s="89"/>
      <c r="H212" s="84"/>
      <c r="I212" s="84"/>
      <c r="J212" s="119"/>
      <c r="K212" s="140"/>
      <c r="L212" s="131"/>
      <c r="M212" s="129"/>
      <c r="N212" s="76"/>
      <c r="O212" s="144"/>
      <c r="P212" s="6"/>
      <c r="Q212" s="16"/>
      <c r="R212" s="106"/>
      <c r="S212" s="13"/>
      <c r="T212" s="103"/>
      <c r="U212" s="103"/>
      <c r="V212" s="104"/>
      <c r="W212" s="29"/>
    </row>
    <row r="213" spans="1:23" x14ac:dyDescent="0.3">
      <c r="A213" s="49"/>
      <c r="B213" s="49"/>
      <c r="C213" s="49"/>
      <c r="D213" s="94"/>
      <c r="E213" s="85"/>
      <c r="F213" s="86"/>
      <c r="G213" s="88"/>
      <c r="H213" s="87"/>
      <c r="I213" s="87"/>
      <c r="J213" s="123"/>
      <c r="K213" s="140"/>
      <c r="L213" s="130"/>
      <c r="M213" s="124"/>
      <c r="N213" s="74"/>
      <c r="O213" s="194"/>
      <c r="P213" s="6"/>
      <c r="Q213" s="16"/>
      <c r="R213" s="9"/>
      <c r="S213" s="13"/>
      <c r="T213" s="103"/>
      <c r="U213" s="103"/>
      <c r="V213" s="104"/>
      <c r="W213" s="29"/>
    </row>
    <row r="214" spans="1:23" x14ac:dyDescent="0.3">
      <c r="A214" s="49"/>
      <c r="B214" s="49"/>
      <c r="C214" s="49"/>
      <c r="D214" s="94"/>
      <c r="E214" s="89"/>
      <c r="F214" s="84"/>
      <c r="G214" s="89"/>
      <c r="H214" s="84"/>
      <c r="I214" s="84"/>
      <c r="J214" s="119"/>
      <c r="K214" s="140"/>
      <c r="L214" s="131"/>
      <c r="M214" s="129"/>
      <c r="N214" s="76"/>
      <c r="O214" s="194"/>
      <c r="P214" s="6"/>
      <c r="Q214" s="16"/>
      <c r="R214" s="9"/>
      <c r="S214" s="110"/>
      <c r="T214" s="103"/>
      <c r="U214" s="103"/>
      <c r="V214" s="104"/>
      <c r="W214" s="29"/>
    </row>
    <row r="215" spans="1:23" x14ac:dyDescent="0.3">
      <c r="A215" s="49"/>
      <c r="B215" s="49"/>
      <c r="C215" s="49"/>
      <c r="D215" s="94"/>
      <c r="E215" s="85"/>
      <c r="F215" s="86"/>
      <c r="G215" s="88"/>
      <c r="H215" s="87"/>
      <c r="I215" s="87"/>
      <c r="J215" s="123"/>
      <c r="K215" s="140"/>
      <c r="L215" s="130"/>
      <c r="M215" s="128"/>
      <c r="N215" s="75"/>
      <c r="O215" s="152"/>
      <c r="P215" s="6"/>
      <c r="Q215" s="16"/>
      <c r="R215" s="9"/>
      <c r="S215" s="110"/>
      <c r="T215" s="103"/>
      <c r="U215" s="103"/>
      <c r="V215" s="104"/>
      <c r="W215" s="29"/>
    </row>
    <row r="216" spans="1:23" x14ac:dyDescent="0.3">
      <c r="A216" s="49"/>
      <c r="B216" s="49"/>
      <c r="C216" s="49"/>
      <c r="D216" s="94"/>
      <c r="E216" s="85"/>
      <c r="F216" s="86"/>
      <c r="G216" s="85"/>
      <c r="H216" s="86"/>
      <c r="I216" s="87"/>
      <c r="J216" s="123"/>
      <c r="K216" s="140"/>
      <c r="L216" s="130"/>
      <c r="M216" s="128"/>
      <c r="N216" s="75"/>
      <c r="O216" s="152"/>
      <c r="P216" s="6"/>
      <c r="Q216" s="16"/>
      <c r="R216" s="106"/>
      <c r="S216" s="13"/>
      <c r="T216" s="103"/>
      <c r="U216" s="103"/>
      <c r="V216" s="104"/>
      <c r="W216" s="29"/>
    </row>
    <row r="217" spans="1:23" x14ac:dyDescent="0.3">
      <c r="A217" s="49"/>
      <c r="B217" s="49"/>
      <c r="C217" s="49"/>
      <c r="D217" s="94"/>
      <c r="E217" s="85"/>
      <c r="F217" s="86"/>
      <c r="G217" s="88"/>
      <c r="H217" s="87"/>
      <c r="I217" s="87"/>
      <c r="J217" s="123"/>
      <c r="K217" s="140"/>
      <c r="L217" s="130"/>
      <c r="M217" s="128"/>
      <c r="N217" s="75"/>
      <c r="O217" s="152"/>
      <c r="P217" s="6"/>
      <c r="Q217" s="165"/>
      <c r="R217" s="106"/>
      <c r="S217" s="13"/>
      <c r="T217" s="103"/>
      <c r="U217" s="103"/>
      <c r="V217" s="104"/>
      <c r="W217" s="29"/>
    </row>
    <row r="218" spans="1:23" x14ac:dyDescent="0.3">
      <c r="A218" s="49"/>
      <c r="B218" s="49"/>
      <c r="C218" s="49"/>
      <c r="D218" s="94"/>
      <c r="E218" s="85"/>
      <c r="F218" s="86"/>
      <c r="G218" s="88"/>
      <c r="H218" s="87"/>
      <c r="I218" s="87"/>
      <c r="J218" s="123"/>
      <c r="K218" s="140"/>
      <c r="L218" s="130"/>
      <c r="M218" s="128"/>
      <c r="N218" s="75"/>
      <c r="O218" s="152"/>
      <c r="P218" s="6"/>
      <c r="Q218" s="16"/>
      <c r="R218" s="9"/>
      <c r="S218" s="13"/>
      <c r="T218" s="103"/>
      <c r="U218" s="103"/>
      <c r="V218" s="104"/>
      <c r="W218" s="29"/>
    </row>
    <row r="219" spans="1:23" x14ac:dyDescent="0.3">
      <c r="A219" s="49"/>
      <c r="B219" s="49"/>
      <c r="C219" s="49"/>
      <c r="D219" s="94"/>
      <c r="E219" s="85"/>
      <c r="F219" s="86"/>
      <c r="G219" s="88"/>
      <c r="H219" s="87"/>
      <c r="I219" s="87"/>
      <c r="J219" s="123"/>
      <c r="K219" s="140"/>
      <c r="L219" s="130"/>
      <c r="M219" s="124"/>
      <c r="N219" s="74"/>
      <c r="O219" s="194"/>
      <c r="P219" s="6"/>
      <c r="Q219" s="16"/>
      <c r="R219" s="8"/>
      <c r="S219" s="13"/>
      <c r="T219" s="103"/>
      <c r="U219" s="103"/>
      <c r="V219" s="104"/>
      <c r="W219" s="29"/>
    </row>
    <row r="220" spans="1:23" x14ac:dyDescent="0.3">
      <c r="A220" s="49"/>
      <c r="B220" s="49"/>
      <c r="C220" s="49"/>
      <c r="D220" s="94"/>
      <c r="E220" s="89"/>
      <c r="F220" s="84"/>
      <c r="G220" s="89"/>
      <c r="H220" s="84"/>
      <c r="I220" s="84"/>
      <c r="J220" s="119"/>
      <c r="K220" s="140"/>
      <c r="L220" s="131"/>
      <c r="M220" s="129"/>
      <c r="N220" s="76"/>
      <c r="O220" s="144"/>
      <c r="P220" s="6"/>
      <c r="Q220" s="16"/>
      <c r="R220" s="106"/>
      <c r="S220" s="110"/>
      <c r="T220" s="103"/>
      <c r="U220" s="103"/>
      <c r="V220" s="104"/>
      <c r="W220" s="29"/>
    </row>
    <row r="221" spans="1:23" x14ac:dyDescent="0.3">
      <c r="A221" s="49"/>
      <c r="B221" s="49"/>
      <c r="C221" s="49"/>
      <c r="D221" s="94"/>
      <c r="E221" s="85"/>
      <c r="F221" s="86"/>
      <c r="G221" s="88"/>
      <c r="H221" s="87"/>
      <c r="I221" s="87"/>
      <c r="J221" s="123"/>
      <c r="K221" s="140"/>
      <c r="L221" s="130"/>
      <c r="M221" s="124"/>
      <c r="N221" s="74"/>
      <c r="O221" s="194"/>
      <c r="P221" s="6"/>
      <c r="Q221" s="16"/>
      <c r="R221" s="8"/>
      <c r="S221" s="13"/>
      <c r="T221" s="103"/>
      <c r="U221" s="103"/>
      <c r="V221" s="104"/>
      <c r="W221" s="29"/>
    </row>
    <row r="222" spans="1:23" x14ac:dyDescent="0.3">
      <c r="A222" s="49"/>
      <c r="B222" s="49"/>
      <c r="C222" s="49"/>
      <c r="D222" s="94"/>
      <c r="E222" s="89"/>
      <c r="F222" s="84"/>
      <c r="G222" s="88"/>
      <c r="H222" s="87"/>
      <c r="I222" s="87"/>
      <c r="J222" s="123"/>
      <c r="K222" s="140"/>
      <c r="L222" s="130"/>
      <c r="M222" s="124"/>
      <c r="N222" s="74"/>
      <c r="O222" s="194"/>
      <c r="P222" s="6"/>
      <c r="Q222" s="16"/>
      <c r="R222" s="106"/>
      <c r="S222" s="110"/>
      <c r="T222" s="103"/>
      <c r="U222" s="103"/>
      <c r="V222" s="104"/>
      <c r="W222" s="29"/>
    </row>
    <row r="223" spans="1:23" x14ac:dyDescent="0.3">
      <c r="A223" s="49"/>
      <c r="B223" s="49"/>
      <c r="C223" s="49"/>
      <c r="D223" s="94"/>
      <c r="E223" s="89"/>
      <c r="F223" s="84"/>
      <c r="G223" s="88"/>
      <c r="H223" s="87"/>
      <c r="I223" s="87"/>
      <c r="J223" s="123"/>
      <c r="K223" s="140"/>
      <c r="L223" s="130"/>
      <c r="M223" s="129"/>
      <c r="N223" s="76"/>
      <c r="O223" s="144"/>
      <c r="P223" s="6"/>
      <c r="Q223" s="165"/>
      <c r="R223" s="9"/>
      <c r="S223" s="110"/>
      <c r="T223" s="103"/>
      <c r="U223" s="103"/>
      <c r="V223" s="104"/>
      <c r="W223" s="29"/>
    </row>
    <row r="224" spans="1:23" x14ac:dyDescent="0.3">
      <c r="A224" s="49"/>
      <c r="B224" s="49"/>
      <c r="C224" s="49"/>
      <c r="D224" s="94"/>
      <c r="E224" s="85"/>
      <c r="F224" s="86"/>
      <c r="G224" s="88"/>
      <c r="H224" s="87"/>
      <c r="I224" s="87"/>
      <c r="J224" s="123"/>
      <c r="K224" s="140"/>
      <c r="L224" s="130"/>
      <c r="M224" s="124"/>
      <c r="N224" s="74"/>
      <c r="O224" s="194"/>
      <c r="P224" s="6"/>
      <c r="Q224" s="16"/>
      <c r="R224" s="9"/>
      <c r="S224" s="110"/>
      <c r="T224" s="103"/>
      <c r="U224" s="103"/>
      <c r="V224" s="104"/>
      <c r="W224" s="29"/>
    </row>
    <row r="225" spans="1:23" x14ac:dyDescent="0.3">
      <c r="A225" s="49"/>
      <c r="B225" s="49"/>
      <c r="C225" s="49"/>
      <c r="D225" s="94"/>
      <c r="E225" s="89"/>
      <c r="F225" s="84"/>
      <c r="G225" s="89"/>
      <c r="H225" s="84"/>
      <c r="I225" s="84"/>
      <c r="J225" s="119"/>
      <c r="K225" s="140"/>
      <c r="L225" s="131"/>
      <c r="M225" s="129"/>
      <c r="N225" s="76"/>
      <c r="O225" s="144"/>
      <c r="P225" s="6"/>
      <c r="Q225" s="16"/>
      <c r="R225" s="8"/>
      <c r="S225" s="110"/>
      <c r="T225" s="103"/>
      <c r="U225" s="103"/>
      <c r="V225" s="104"/>
      <c r="W225" s="29"/>
    </row>
    <row r="226" spans="1:23" x14ac:dyDescent="0.3">
      <c r="A226" s="49"/>
      <c r="B226" s="49"/>
      <c r="C226" s="49"/>
      <c r="D226" s="94"/>
      <c r="E226" s="85"/>
      <c r="F226" s="86"/>
      <c r="G226" s="88"/>
      <c r="H226" s="87"/>
      <c r="I226" s="87"/>
      <c r="J226" s="123"/>
      <c r="K226" s="140"/>
      <c r="L226" s="130"/>
      <c r="M226" s="129"/>
      <c r="N226" s="76"/>
      <c r="O226" s="144"/>
      <c r="P226" s="6"/>
      <c r="Q226" s="165"/>
      <c r="R226" s="106"/>
      <c r="S226" s="110"/>
      <c r="T226" s="103"/>
      <c r="U226" s="103"/>
      <c r="V226" s="104"/>
      <c r="W226" s="29"/>
    </row>
    <row r="227" spans="1:23" x14ac:dyDescent="0.3">
      <c r="A227" s="49"/>
      <c r="B227" s="49"/>
      <c r="C227" s="49"/>
      <c r="D227" s="94"/>
      <c r="E227" s="85"/>
      <c r="F227" s="86"/>
      <c r="G227" s="85"/>
      <c r="H227" s="86"/>
      <c r="I227" s="85"/>
      <c r="J227" s="125"/>
      <c r="K227" s="140"/>
      <c r="L227" s="132"/>
      <c r="M227" s="129"/>
      <c r="N227" s="76"/>
      <c r="O227" s="144"/>
      <c r="P227" s="6"/>
      <c r="Q227" s="165"/>
      <c r="R227" s="9"/>
      <c r="S227" s="110"/>
      <c r="T227" s="103"/>
      <c r="U227" s="103"/>
      <c r="V227" s="104"/>
      <c r="W227" s="29"/>
    </row>
    <row r="228" spans="1:23" x14ac:dyDescent="0.3">
      <c r="A228" s="49"/>
      <c r="B228" s="49"/>
      <c r="C228" s="49"/>
      <c r="D228" s="94"/>
      <c r="E228" s="85"/>
      <c r="F228" s="86"/>
      <c r="G228" s="88"/>
      <c r="H228" s="87"/>
      <c r="I228" s="87"/>
      <c r="J228" s="123"/>
      <c r="K228" s="140"/>
      <c r="L228" s="130"/>
      <c r="M228" s="129"/>
      <c r="N228" s="76"/>
      <c r="O228" s="144"/>
      <c r="P228" s="6"/>
      <c r="Q228" s="165"/>
      <c r="R228" s="106"/>
      <c r="S228" s="110"/>
      <c r="T228" s="103"/>
      <c r="U228" s="103"/>
      <c r="V228" s="104"/>
      <c r="W228" s="29"/>
    </row>
    <row r="229" spans="1:23" x14ac:dyDescent="0.3">
      <c r="A229" s="49"/>
      <c r="B229" s="49"/>
      <c r="C229" s="49"/>
      <c r="D229" s="94"/>
      <c r="E229" s="85"/>
      <c r="F229" s="86"/>
      <c r="G229" s="88"/>
      <c r="H229" s="87"/>
      <c r="I229" s="87"/>
      <c r="J229" s="123"/>
      <c r="K229" s="140"/>
      <c r="L229" s="130"/>
      <c r="M229" s="129"/>
      <c r="N229" s="76"/>
      <c r="O229" s="144"/>
      <c r="P229" s="6"/>
      <c r="Q229" s="165"/>
      <c r="R229" s="106"/>
      <c r="S229" s="110"/>
      <c r="T229" s="103"/>
      <c r="U229" s="103"/>
      <c r="V229" s="104"/>
      <c r="W229" s="29"/>
    </row>
    <row r="230" spans="1:23" x14ac:dyDescent="0.3">
      <c r="A230" s="49"/>
      <c r="B230" s="49"/>
      <c r="C230" s="49"/>
      <c r="D230" s="94"/>
      <c r="E230" s="85"/>
      <c r="F230" s="86"/>
      <c r="G230" s="88"/>
      <c r="H230" s="87"/>
      <c r="I230" s="87"/>
      <c r="J230" s="123"/>
      <c r="K230" s="140"/>
      <c r="L230" s="130"/>
      <c r="M230" s="124"/>
      <c r="N230" s="74"/>
      <c r="O230" s="194"/>
      <c r="P230" s="6"/>
      <c r="Q230" s="16"/>
      <c r="R230" s="106"/>
      <c r="S230" s="110"/>
      <c r="T230" s="103"/>
      <c r="U230" s="103"/>
      <c r="V230" s="104"/>
      <c r="W230" s="29"/>
    </row>
    <row r="231" spans="1:23" x14ac:dyDescent="0.3">
      <c r="A231" s="49"/>
      <c r="B231" s="49"/>
      <c r="C231" s="49"/>
      <c r="D231" s="94"/>
      <c r="E231" s="89"/>
      <c r="F231" s="84"/>
      <c r="G231" s="88"/>
      <c r="H231" s="87"/>
      <c r="I231" s="87"/>
      <c r="J231" s="123"/>
      <c r="K231" s="140"/>
      <c r="L231" s="130"/>
      <c r="M231" s="129"/>
      <c r="N231" s="76"/>
      <c r="O231" s="144"/>
      <c r="P231" s="6"/>
      <c r="Q231" s="16"/>
      <c r="R231" s="8"/>
      <c r="S231" s="110"/>
      <c r="T231" s="103"/>
      <c r="U231" s="103"/>
      <c r="V231" s="104"/>
      <c r="W231" s="29"/>
    </row>
    <row r="232" spans="1:23" x14ac:dyDescent="0.3">
      <c r="A232" s="49"/>
      <c r="B232" s="49"/>
      <c r="C232" s="49"/>
      <c r="D232" s="94"/>
      <c r="E232" s="85"/>
      <c r="F232" s="86"/>
      <c r="G232" s="88"/>
      <c r="H232" s="87"/>
      <c r="I232" s="87"/>
      <c r="J232" s="123"/>
      <c r="K232" s="140"/>
      <c r="L232" s="130"/>
      <c r="M232" s="129"/>
      <c r="N232" s="76"/>
      <c r="O232" s="144"/>
      <c r="P232" s="6"/>
      <c r="Q232" s="16"/>
      <c r="R232" s="8"/>
      <c r="S232" s="110"/>
      <c r="T232" s="103"/>
      <c r="U232" s="103"/>
      <c r="V232" s="104"/>
      <c r="W232" s="29"/>
    </row>
    <row r="233" spans="1:23" x14ac:dyDescent="0.3">
      <c r="A233" s="49"/>
      <c r="B233" s="49"/>
      <c r="C233" s="49"/>
      <c r="D233" s="94"/>
      <c r="E233" s="85"/>
      <c r="F233" s="86"/>
      <c r="G233" s="85"/>
      <c r="H233" s="86"/>
      <c r="I233" s="85"/>
      <c r="J233" s="125"/>
      <c r="K233" s="140"/>
      <c r="L233" s="132"/>
      <c r="M233" s="129"/>
      <c r="N233" s="76"/>
      <c r="O233" s="144"/>
      <c r="P233" s="6"/>
      <c r="Q233" s="16"/>
      <c r="R233" s="8"/>
      <c r="S233" s="110"/>
      <c r="T233" s="103"/>
      <c r="U233" s="103"/>
      <c r="V233" s="104"/>
      <c r="W233" s="29"/>
    </row>
    <row r="234" spans="1:23" x14ac:dyDescent="0.3">
      <c r="A234" s="49"/>
      <c r="B234" s="49"/>
      <c r="C234" s="49"/>
      <c r="D234" s="94"/>
      <c r="E234" s="85"/>
      <c r="F234" s="86"/>
      <c r="G234" s="88"/>
      <c r="H234" s="87"/>
      <c r="I234" s="87"/>
      <c r="J234" s="123"/>
      <c r="K234" s="140"/>
      <c r="L234" s="130"/>
      <c r="M234" s="124"/>
      <c r="N234" s="74"/>
      <c r="O234" s="194"/>
      <c r="P234" s="6"/>
      <c r="Q234" s="16"/>
      <c r="R234" s="106"/>
      <c r="S234" s="110"/>
      <c r="T234" s="103"/>
      <c r="U234" s="103"/>
      <c r="V234" s="104"/>
      <c r="W234" s="29"/>
    </row>
    <row r="235" spans="1:23" x14ac:dyDescent="0.3">
      <c r="A235" s="49"/>
      <c r="B235" s="49"/>
      <c r="C235" s="49"/>
      <c r="D235" s="94"/>
      <c r="E235" s="89"/>
      <c r="F235" s="84"/>
      <c r="G235" s="88"/>
      <c r="H235" s="87"/>
      <c r="I235" s="87"/>
      <c r="J235" s="123"/>
      <c r="K235" s="140"/>
      <c r="L235" s="130"/>
      <c r="M235" s="124"/>
      <c r="N235" s="74"/>
      <c r="O235" s="194"/>
      <c r="P235" s="6"/>
      <c r="Q235" s="16"/>
      <c r="R235" s="106"/>
      <c r="S235" s="110"/>
      <c r="T235" s="103"/>
      <c r="U235" s="103"/>
      <c r="V235" s="104"/>
      <c r="W235" s="29"/>
    </row>
    <row r="236" spans="1:23" x14ac:dyDescent="0.3">
      <c r="A236" s="49"/>
      <c r="B236" s="49"/>
      <c r="C236" s="49"/>
      <c r="D236" s="94"/>
      <c r="E236" s="89"/>
      <c r="F236" s="84"/>
      <c r="G236" s="88"/>
      <c r="H236" s="87"/>
      <c r="I236" s="87"/>
      <c r="J236" s="123"/>
      <c r="K236" s="140"/>
      <c r="L236" s="130"/>
      <c r="M236" s="124"/>
      <c r="N236" s="74"/>
      <c r="O236" s="194"/>
      <c r="P236" s="6"/>
      <c r="Q236" s="16"/>
      <c r="R236" s="8"/>
      <c r="S236" s="13"/>
      <c r="T236" s="103"/>
      <c r="U236" s="103"/>
      <c r="V236" s="104"/>
      <c r="W236" s="29"/>
    </row>
    <row r="237" spans="1:23" x14ac:dyDescent="0.3">
      <c r="A237" s="49"/>
      <c r="B237" s="49"/>
      <c r="C237" s="49"/>
      <c r="D237" s="94"/>
      <c r="E237" s="89"/>
      <c r="F237" s="84"/>
      <c r="G237" s="88"/>
      <c r="H237" s="87"/>
      <c r="I237" s="87"/>
      <c r="J237" s="123"/>
      <c r="K237" s="140"/>
      <c r="L237" s="130"/>
      <c r="M237" s="129"/>
      <c r="N237" s="76"/>
      <c r="O237" s="144"/>
      <c r="P237" s="6"/>
      <c r="Q237" s="16"/>
      <c r="R237" s="8"/>
      <c r="S237" s="110"/>
      <c r="T237" s="103"/>
      <c r="U237" s="103"/>
      <c r="V237" s="104"/>
      <c r="W237" s="29"/>
    </row>
    <row r="238" spans="1:23" x14ac:dyDescent="0.3">
      <c r="A238" s="49"/>
      <c r="B238" s="49"/>
      <c r="C238" s="49"/>
      <c r="D238" s="94"/>
      <c r="E238" s="85"/>
      <c r="F238" s="86"/>
      <c r="G238" s="88"/>
      <c r="H238" s="87"/>
      <c r="I238" s="87"/>
      <c r="J238" s="123"/>
      <c r="K238" s="140"/>
      <c r="L238" s="130"/>
      <c r="M238" s="124"/>
      <c r="N238" s="74"/>
      <c r="O238" s="194"/>
      <c r="P238" s="6"/>
      <c r="Q238" s="16"/>
      <c r="R238" s="106"/>
      <c r="S238" s="110"/>
      <c r="T238" s="103"/>
      <c r="U238" s="103"/>
      <c r="V238" s="104"/>
      <c r="W238" s="29"/>
    </row>
    <row r="239" spans="1:23" x14ac:dyDescent="0.3">
      <c r="A239" s="49"/>
      <c r="B239" s="49"/>
      <c r="C239" s="49"/>
      <c r="D239" s="94"/>
      <c r="E239" s="89"/>
      <c r="F239" s="84"/>
      <c r="G239" s="88"/>
      <c r="H239" s="87"/>
      <c r="I239" s="87"/>
      <c r="J239" s="123"/>
      <c r="K239" s="140"/>
      <c r="L239" s="130"/>
      <c r="M239" s="129"/>
      <c r="N239" s="76"/>
      <c r="O239" s="144"/>
      <c r="P239" s="6"/>
      <c r="Q239" s="16"/>
      <c r="R239" s="106"/>
      <c r="S239" s="110"/>
      <c r="T239" s="103"/>
      <c r="U239" s="103"/>
      <c r="V239" s="104"/>
      <c r="W239" s="29"/>
    </row>
    <row r="240" spans="1:23" x14ac:dyDescent="0.3">
      <c r="A240" s="49"/>
      <c r="B240" s="49"/>
      <c r="C240" s="49"/>
      <c r="D240" s="94"/>
      <c r="E240" s="85"/>
      <c r="F240" s="86"/>
      <c r="G240" s="88"/>
      <c r="H240" s="87"/>
      <c r="I240" s="87"/>
      <c r="J240" s="123"/>
      <c r="K240" s="140"/>
      <c r="L240" s="130"/>
      <c r="M240" s="124"/>
      <c r="N240" s="74"/>
      <c r="O240" s="194"/>
      <c r="P240" s="6"/>
      <c r="Q240" s="16"/>
      <c r="R240" s="106"/>
      <c r="S240" s="110"/>
      <c r="T240" s="103"/>
      <c r="U240" s="103"/>
      <c r="V240" s="104"/>
      <c r="W240" s="29"/>
    </row>
    <row r="241" spans="1:23" x14ac:dyDescent="0.3">
      <c r="A241" s="49"/>
      <c r="B241" s="49"/>
      <c r="C241" s="49"/>
      <c r="D241" s="94"/>
      <c r="E241" s="89"/>
      <c r="F241" s="84"/>
      <c r="G241" s="88"/>
      <c r="H241" s="87"/>
      <c r="I241" s="87"/>
      <c r="J241" s="123"/>
      <c r="K241" s="140"/>
      <c r="L241" s="130"/>
      <c r="M241" s="128"/>
      <c r="N241" s="75"/>
      <c r="O241" s="152"/>
      <c r="P241" s="6"/>
      <c r="Q241" s="16"/>
      <c r="R241" s="9"/>
      <c r="S241" s="110"/>
      <c r="T241" s="103"/>
      <c r="U241" s="103"/>
      <c r="V241" s="104"/>
      <c r="W241" s="29"/>
    </row>
    <row r="242" spans="1:23" x14ac:dyDescent="0.3">
      <c r="A242" s="49"/>
      <c r="B242" s="49"/>
      <c r="C242" s="49"/>
      <c r="D242" s="94"/>
      <c r="E242" s="85"/>
      <c r="F242" s="86"/>
      <c r="G242" s="88"/>
      <c r="H242" s="87"/>
      <c r="I242" s="87"/>
      <c r="J242" s="123"/>
      <c r="K242" s="140"/>
      <c r="L242" s="130"/>
      <c r="M242" s="128"/>
      <c r="N242" s="75"/>
      <c r="O242" s="152"/>
      <c r="P242" s="6"/>
      <c r="Q242" s="165"/>
      <c r="R242" s="8"/>
      <c r="S242" s="110"/>
      <c r="T242" s="103"/>
      <c r="U242" s="103"/>
      <c r="V242" s="104"/>
      <c r="W242" s="29"/>
    </row>
    <row r="243" spans="1:23" x14ac:dyDescent="0.3">
      <c r="A243" s="49"/>
      <c r="B243" s="49"/>
      <c r="C243" s="49"/>
      <c r="D243" s="94"/>
      <c r="E243" s="85"/>
      <c r="F243" s="86"/>
      <c r="G243" s="88"/>
      <c r="H243" s="87"/>
      <c r="I243" s="87"/>
      <c r="J243" s="123"/>
      <c r="K243" s="140"/>
      <c r="L243" s="130"/>
      <c r="M243" s="128"/>
      <c r="N243" s="75"/>
      <c r="O243" s="152"/>
      <c r="P243" s="6"/>
      <c r="Q243" s="165"/>
      <c r="R243" s="8"/>
      <c r="S243" s="110"/>
      <c r="T243" s="103"/>
      <c r="U243" s="103"/>
      <c r="V243" s="104"/>
      <c r="W243" s="29"/>
    </row>
    <row r="244" spans="1:23" x14ac:dyDescent="0.3">
      <c r="A244" s="49"/>
      <c r="B244" s="49"/>
      <c r="C244" s="49"/>
      <c r="D244" s="94"/>
      <c r="E244" s="85"/>
      <c r="F244" s="86"/>
      <c r="G244" s="88"/>
      <c r="H244" s="87"/>
      <c r="I244" s="87"/>
      <c r="J244" s="123"/>
      <c r="K244" s="140"/>
      <c r="L244" s="130"/>
      <c r="M244" s="124"/>
      <c r="N244" s="74"/>
      <c r="O244" s="194"/>
      <c r="P244" s="6"/>
      <c r="Q244" s="16"/>
      <c r="R244" s="106"/>
      <c r="S244" s="110"/>
      <c r="T244" s="103"/>
      <c r="U244" s="103"/>
      <c r="V244" s="104"/>
      <c r="W244" s="29"/>
    </row>
    <row r="245" spans="1:23" x14ac:dyDescent="0.3">
      <c r="A245" s="49"/>
      <c r="B245" s="49"/>
      <c r="C245" s="49"/>
      <c r="D245" s="94"/>
      <c r="G245" s="88"/>
      <c r="H245" s="87"/>
      <c r="I245" s="87"/>
      <c r="J245" s="123"/>
      <c r="K245" s="140"/>
      <c r="L245" s="130"/>
      <c r="M245" s="129"/>
      <c r="N245" s="76"/>
      <c r="O245" s="144"/>
      <c r="P245" s="6"/>
      <c r="Q245" s="165"/>
      <c r="R245" s="106"/>
      <c r="S245" s="110"/>
      <c r="T245" s="103"/>
      <c r="U245" s="103"/>
      <c r="V245" s="104"/>
      <c r="W245" s="29"/>
    </row>
    <row r="246" spans="1:23" x14ac:dyDescent="0.3">
      <c r="A246" s="49"/>
      <c r="B246" s="49"/>
      <c r="C246" s="49"/>
      <c r="D246" s="94"/>
      <c r="E246" s="85"/>
      <c r="F246" s="86"/>
      <c r="G246" s="88"/>
      <c r="H246" s="87"/>
      <c r="I246" s="87"/>
      <c r="J246" s="123"/>
      <c r="K246" s="140"/>
      <c r="L246" s="130"/>
      <c r="M246" s="129"/>
      <c r="N246" s="76"/>
      <c r="O246" s="144"/>
      <c r="P246" s="6"/>
      <c r="Q246" s="165"/>
      <c r="R246" s="8"/>
      <c r="S246" s="110"/>
      <c r="T246" s="103"/>
      <c r="U246" s="103"/>
      <c r="V246" s="104"/>
      <c r="W246" s="29"/>
    </row>
    <row r="247" spans="1:23" x14ac:dyDescent="0.3">
      <c r="A247" s="49"/>
      <c r="B247" s="49"/>
      <c r="C247" s="49"/>
      <c r="D247" s="94"/>
      <c r="E247" s="85"/>
      <c r="F247" s="86"/>
      <c r="G247" s="89"/>
      <c r="H247" s="84"/>
      <c r="I247" s="84"/>
      <c r="J247" s="119"/>
      <c r="K247" s="140"/>
      <c r="L247" s="131"/>
      <c r="M247" s="129"/>
      <c r="N247" s="76"/>
      <c r="O247" s="144"/>
      <c r="P247" s="6"/>
      <c r="Q247" s="16"/>
      <c r="R247" s="9"/>
      <c r="S247" s="110"/>
      <c r="T247" s="103"/>
      <c r="U247" s="103"/>
      <c r="V247" s="104"/>
      <c r="W247" s="29"/>
    </row>
    <row r="248" spans="1:23" x14ac:dyDescent="0.3">
      <c r="A248" s="49"/>
      <c r="B248" s="49"/>
      <c r="C248" s="49"/>
      <c r="D248" s="94"/>
      <c r="E248" s="85"/>
      <c r="F248" s="86"/>
      <c r="G248" s="88"/>
      <c r="H248" s="87"/>
      <c r="I248" s="87"/>
      <c r="J248" s="123"/>
      <c r="K248" s="140"/>
      <c r="L248" s="130"/>
      <c r="M248" s="124"/>
      <c r="N248" s="74"/>
      <c r="O248" s="194"/>
      <c r="P248" s="6"/>
      <c r="Q248" s="16"/>
      <c r="R248" s="106"/>
      <c r="S248" s="110"/>
      <c r="T248" s="103"/>
      <c r="U248" s="103"/>
      <c r="V248" s="104"/>
      <c r="W248" s="29"/>
    </row>
    <row r="249" spans="1:23" x14ac:dyDescent="0.3">
      <c r="A249" s="49"/>
      <c r="B249" s="49"/>
      <c r="C249" s="49"/>
      <c r="D249" s="94"/>
      <c r="E249" s="89"/>
      <c r="F249" s="84"/>
      <c r="G249" s="88"/>
      <c r="H249" s="87"/>
      <c r="I249" s="87"/>
      <c r="J249" s="123"/>
      <c r="K249" s="140"/>
      <c r="L249" s="130"/>
      <c r="M249" s="124"/>
      <c r="N249" s="74"/>
      <c r="O249" s="194"/>
      <c r="P249" s="6"/>
      <c r="Q249" s="16"/>
      <c r="R249" s="8"/>
      <c r="S249" s="110"/>
      <c r="T249" s="103"/>
      <c r="U249" s="103"/>
      <c r="V249" s="104"/>
      <c r="W249" s="29"/>
    </row>
    <row r="250" spans="1:23" x14ac:dyDescent="0.3">
      <c r="A250" s="49"/>
      <c r="B250" s="49"/>
      <c r="C250" s="49"/>
      <c r="D250" s="94"/>
      <c r="E250" s="85"/>
      <c r="F250" s="86"/>
      <c r="G250" s="88"/>
      <c r="H250" s="87"/>
      <c r="I250" s="87"/>
      <c r="J250" s="123"/>
      <c r="K250" s="140"/>
      <c r="L250" s="130"/>
      <c r="M250" s="124"/>
      <c r="N250" s="74"/>
      <c r="O250" s="194"/>
      <c r="P250" s="6"/>
      <c r="Q250" s="165"/>
      <c r="R250" s="9"/>
      <c r="S250" s="110"/>
      <c r="T250" s="103"/>
      <c r="U250" s="103"/>
      <c r="V250" s="104"/>
      <c r="W250" s="29"/>
    </row>
    <row r="251" spans="1:23" x14ac:dyDescent="0.3">
      <c r="A251" s="49"/>
      <c r="B251" s="49"/>
      <c r="C251" s="49"/>
      <c r="D251" s="94"/>
      <c r="E251" s="85"/>
      <c r="F251" s="86"/>
      <c r="G251" s="88"/>
      <c r="H251" s="87"/>
      <c r="I251" s="87"/>
      <c r="J251" s="123"/>
      <c r="K251" s="140"/>
      <c r="L251" s="130"/>
      <c r="M251" s="129"/>
      <c r="N251" s="76"/>
      <c r="O251" s="144"/>
      <c r="P251" s="6"/>
      <c r="Q251" s="16"/>
      <c r="R251" s="9"/>
      <c r="S251" s="13"/>
      <c r="T251" s="103"/>
      <c r="U251" s="103"/>
      <c r="V251" s="104"/>
      <c r="W251" s="29"/>
    </row>
    <row r="252" spans="1:23" x14ac:dyDescent="0.3">
      <c r="A252" s="49"/>
      <c r="B252" s="49"/>
      <c r="C252" s="49"/>
      <c r="D252" s="94"/>
      <c r="E252" s="85"/>
      <c r="F252" s="86"/>
      <c r="G252" s="88"/>
      <c r="H252" s="87"/>
      <c r="I252" s="87"/>
      <c r="J252" s="123"/>
      <c r="K252" s="140"/>
      <c r="L252" s="130"/>
      <c r="M252" s="129"/>
      <c r="N252" s="76"/>
      <c r="O252" s="144"/>
      <c r="P252" s="6"/>
      <c r="Q252" s="16"/>
      <c r="R252" s="9"/>
      <c r="S252" s="110"/>
      <c r="T252" s="103"/>
      <c r="U252" s="103"/>
      <c r="V252" s="104"/>
      <c r="W252" s="29"/>
    </row>
    <row r="253" spans="1:23" x14ac:dyDescent="0.3">
      <c r="A253" s="49"/>
      <c r="B253" s="49"/>
      <c r="C253" s="49"/>
      <c r="D253" s="94"/>
      <c r="E253" s="85"/>
      <c r="F253" s="86"/>
      <c r="G253" s="88"/>
      <c r="H253" s="87"/>
      <c r="I253" s="87"/>
      <c r="J253" s="123"/>
      <c r="K253" s="140"/>
      <c r="L253" s="130"/>
      <c r="M253" s="124"/>
      <c r="N253" s="74"/>
      <c r="O253" s="194"/>
      <c r="P253" s="6"/>
      <c r="Q253" s="16"/>
      <c r="R253" s="8"/>
      <c r="S253" s="110"/>
      <c r="T253" s="103"/>
      <c r="U253" s="103"/>
      <c r="V253" s="104"/>
      <c r="W253" s="29"/>
    </row>
    <row r="254" spans="1:23" x14ac:dyDescent="0.3">
      <c r="A254" s="49"/>
      <c r="B254" s="49"/>
      <c r="C254" s="49"/>
      <c r="D254" s="94"/>
      <c r="E254" s="89"/>
      <c r="F254" s="84"/>
      <c r="G254" s="88"/>
      <c r="H254" s="87"/>
      <c r="I254" s="87"/>
      <c r="J254" s="123"/>
      <c r="K254" s="140"/>
      <c r="L254" s="130"/>
      <c r="M254" s="124"/>
      <c r="N254" s="74"/>
      <c r="O254" s="194"/>
      <c r="P254" s="6"/>
      <c r="Q254" s="16"/>
      <c r="R254" s="9"/>
      <c r="S254" s="110"/>
      <c r="T254" s="103"/>
      <c r="U254" s="103"/>
      <c r="V254" s="104"/>
      <c r="W254" s="29"/>
    </row>
    <row r="255" spans="1:23" x14ac:dyDescent="0.3">
      <c r="A255" s="49"/>
      <c r="B255" s="49"/>
      <c r="C255" s="49"/>
      <c r="D255" s="94"/>
      <c r="E255" s="89"/>
      <c r="F255" s="84"/>
      <c r="G255" s="88"/>
      <c r="H255" s="87"/>
      <c r="I255" s="87"/>
      <c r="J255" s="123"/>
      <c r="K255" s="140"/>
      <c r="L255" s="130"/>
      <c r="M255" s="124"/>
      <c r="N255" s="74"/>
      <c r="O255" s="194"/>
      <c r="P255" s="6"/>
      <c r="Q255" s="16"/>
      <c r="R255" s="106"/>
      <c r="S255" s="110"/>
      <c r="T255" s="103"/>
      <c r="U255" s="103"/>
      <c r="V255" s="104"/>
      <c r="W255" s="29"/>
    </row>
    <row r="256" spans="1:23" x14ac:dyDescent="0.3">
      <c r="A256" s="49"/>
      <c r="B256" s="49"/>
      <c r="C256" s="49"/>
      <c r="D256" s="94"/>
      <c r="E256" s="89"/>
      <c r="F256" s="84"/>
      <c r="G256" s="88"/>
      <c r="H256" s="87"/>
      <c r="I256" s="87"/>
      <c r="J256" s="123"/>
      <c r="K256" s="140"/>
      <c r="L256" s="130"/>
      <c r="M256" s="129"/>
      <c r="N256" s="76"/>
      <c r="O256" s="144"/>
      <c r="P256" s="6"/>
      <c r="Q256" s="16"/>
      <c r="R256" s="8"/>
      <c r="S256" s="13"/>
      <c r="T256" s="103"/>
      <c r="U256" s="103"/>
      <c r="V256" s="104"/>
      <c r="W256" s="29"/>
    </row>
    <row r="257" spans="1:23" x14ac:dyDescent="0.3">
      <c r="A257" s="49"/>
      <c r="B257" s="49"/>
      <c r="C257" s="49"/>
      <c r="D257" s="94"/>
      <c r="E257" s="85"/>
      <c r="F257" s="86"/>
      <c r="G257" s="88"/>
      <c r="H257" s="87"/>
      <c r="I257" s="87"/>
      <c r="J257" s="123"/>
      <c r="K257" s="140"/>
      <c r="L257" s="130"/>
      <c r="M257" s="124"/>
      <c r="N257" s="74"/>
      <c r="O257" s="194"/>
      <c r="P257" s="6"/>
      <c r="Q257" s="16"/>
      <c r="R257" s="8"/>
      <c r="S257" s="110"/>
      <c r="T257" s="103"/>
      <c r="U257" s="103"/>
      <c r="V257" s="104"/>
      <c r="W257" s="29"/>
    </row>
    <row r="258" spans="1:23" x14ac:dyDescent="0.3">
      <c r="A258" s="49"/>
      <c r="B258" s="49"/>
      <c r="C258" s="49"/>
      <c r="D258" s="94"/>
      <c r="E258" s="85"/>
      <c r="F258" s="86"/>
      <c r="G258" s="88"/>
      <c r="H258" s="87"/>
      <c r="I258" s="87"/>
      <c r="J258" s="123"/>
      <c r="K258" s="140"/>
      <c r="L258" s="130"/>
      <c r="M258" s="129"/>
      <c r="N258" s="76"/>
      <c r="O258" s="144"/>
      <c r="P258" s="6"/>
      <c r="Q258" s="165"/>
      <c r="R258" s="8"/>
      <c r="S258" s="13"/>
      <c r="T258" s="103"/>
      <c r="U258" s="103"/>
      <c r="V258" s="104"/>
      <c r="W258" s="29"/>
    </row>
    <row r="259" spans="1:23" x14ac:dyDescent="0.3">
      <c r="A259" s="49"/>
      <c r="B259" s="49"/>
      <c r="C259" s="49"/>
      <c r="D259" s="94"/>
      <c r="E259" s="85"/>
      <c r="F259" s="86"/>
      <c r="G259" s="88"/>
      <c r="H259" s="87"/>
      <c r="I259" s="87"/>
      <c r="J259" s="123"/>
      <c r="K259" s="140"/>
      <c r="L259" s="130"/>
      <c r="M259" s="129"/>
      <c r="N259" s="76"/>
      <c r="O259" s="144"/>
      <c r="P259" s="6"/>
      <c r="Q259" s="165"/>
      <c r="R259" s="9"/>
      <c r="S259" s="110"/>
      <c r="T259" s="103"/>
      <c r="U259" s="103"/>
      <c r="V259" s="104"/>
      <c r="W259" s="29"/>
    </row>
    <row r="260" spans="1:23" x14ac:dyDescent="0.3">
      <c r="A260" s="49"/>
      <c r="B260" s="49"/>
      <c r="C260" s="49"/>
      <c r="D260" s="94"/>
      <c r="E260" s="85"/>
      <c r="F260" s="86"/>
      <c r="G260" s="85"/>
      <c r="H260" s="86"/>
      <c r="I260" s="87"/>
      <c r="J260" s="123"/>
      <c r="K260" s="140"/>
      <c r="L260" s="130"/>
      <c r="M260" s="129"/>
      <c r="N260" s="76"/>
      <c r="O260" s="144"/>
      <c r="P260" s="6"/>
      <c r="Q260" s="16"/>
      <c r="R260" s="9"/>
      <c r="S260" s="110"/>
      <c r="T260" s="103"/>
      <c r="U260" s="103"/>
      <c r="V260" s="104"/>
      <c r="W260" s="29"/>
    </row>
    <row r="261" spans="1:23" x14ac:dyDescent="0.3">
      <c r="A261" s="49"/>
      <c r="B261" s="49"/>
      <c r="C261" s="49"/>
      <c r="D261" s="94"/>
      <c r="E261" s="85"/>
      <c r="F261" s="86"/>
      <c r="G261" s="88"/>
      <c r="H261" s="87"/>
      <c r="I261" s="87"/>
      <c r="J261" s="123"/>
      <c r="K261" s="140"/>
      <c r="L261" s="130"/>
      <c r="M261" s="129"/>
      <c r="N261" s="76"/>
      <c r="O261" s="144"/>
      <c r="P261" s="6"/>
      <c r="Q261" s="165"/>
      <c r="R261" s="9"/>
      <c r="S261" s="110"/>
      <c r="T261" s="103"/>
      <c r="U261" s="103"/>
      <c r="V261" s="104"/>
      <c r="W261" s="29"/>
    </row>
    <row r="262" spans="1:23" x14ac:dyDescent="0.3">
      <c r="A262" s="49"/>
      <c r="B262" s="49"/>
      <c r="C262" s="49"/>
      <c r="D262" s="94"/>
      <c r="E262" s="85"/>
      <c r="F262" s="86"/>
      <c r="G262" s="88"/>
      <c r="H262" s="87"/>
      <c r="I262" s="87"/>
      <c r="J262" s="123"/>
      <c r="K262" s="140"/>
      <c r="L262" s="130"/>
      <c r="M262" s="129"/>
      <c r="N262" s="76"/>
      <c r="O262" s="144"/>
      <c r="P262" s="6"/>
      <c r="Q262" s="16"/>
      <c r="R262" s="9"/>
      <c r="S262" s="13"/>
      <c r="T262" s="103"/>
      <c r="U262" s="103"/>
      <c r="V262" s="104"/>
      <c r="W262" s="29"/>
    </row>
    <row r="263" spans="1:23" x14ac:dyDescent="0.3">
      <c r="A263" s="49"/>
      <c r="B263" s="49"/>
      <c r="C263" s="49"/>
      <c r="D263" s="94"/>
      <c r="E263" s="85"/>
      <c r="F263" s="86"/>
      <c r="G263" s="88"/>
      <c r="H263" s="87"/>
      <c r="I263" s="87"/>
      <c r="J263" s="123"/>
      <c r="K263" s="140"/>
      <c r="L263" s="130"/>
      <c r="M263" s="124"/>
      <c r="N263" s="74"/>
      <c r="O263" s="194"/>
      <c r="P263" s="6"/>
      <c r="Q263" s="16"/>
      <c r="R263" s="8"/>
      <c r="S263" s="110"/>
      <c r="T263" s="103"/>
      <c r="U263" s="103"/>
      <c r="V263" s="104"/>
      <c r="W263" s="29"/>
    </row>
    <row r="264" spans="1:23" x14ac:dyDescent="0.3">
      <c r="A264" s="49"/>
      <c r="B264" s="49"/>
      <c r="C264" s="49"/>
      <c r="D264" s="94"/>
      <c r="E264" s="89"/>
      <c r="F264" s="84"/>
      <c r="G264" s="88"/>
      <c r="H264" s="87"/>
      <c r="I264" s="87"/>
      <c r="J264" s="123"/>
      <c r="K264" s="140"/>
      <c r="L264" s="130"/>
      <c r="M264" s="124"/>
      <c r="N264" s="74"/>
      <c r="O264" s="194"/>
      <c r="P264" s="6"/>
      <c r="Q264" s="16"/>
      <c r="R264" s="8"/>
      <c r="S264" s="110"/>
      <c r="T264" s="103"/>
      <c r="U264" s="103"/>
      <c r="V264" s="104"/>
      <c r="W264" s="29"/>
    </row>
    <row r="265" spans="1:23" x14ac:dyDescent="0.3">
      <c r="A265" s="49"/>
      <c r="B265" s="49"/>
      <c r="C265" s="49"/>
      <c r="D265" s="94"/>
      <c r="E265" s="89"/>
      <c r="F265" s="84"/>
      <c r="G265" s="88"/>
      <c r="H265" s="87"/>
      <c r="I265" s="87"/>
      <c r="J265" s="123"/>
      <c r="K265" s="140"/>
      <c r="L265" s="130"/>
      <c r="M265" s="124"/>
      <c r="N265" s="74"/>
      <c r="O265" s="194"/>
      <c r="P265" s="6"/>
      <c r="Q265" s="16"/>
      <c r="R265" s="106"/>
      <c r="S265" s="13"/>
      <c r="T265" s="103"/>
      <c r="U265" s="103"/>
      <c r="V265" s="104"/>
      <c r="W265" s="29"/>
    </row>
    <row r="266" spans="1:23" x14ac:dyDescent="0.3">
      <c r="A266" s="49"/>
      <c r="B266" s="49"/>
      <c r="C266" s="49"/>
      <c r="D266" s="94"/>
      <c r="E266" s="85"/>
      <c r="F266" s="86"/>
      <c r="G266" s="88"/>
      <c r="H266" s="87"/>
      <c r="I266" s="87"/>
      <c r="J266" s="123"/>
      <c r="K266" s="140"/>
      <c r="L266" s="130"/>
      <c r="M266" s="124"/>
      <c r="N266" s="74"/>
      <c r="O266" s="194"/>
      <c r="P266" s="6"/>
      <c r="Q266" s="16"/>
      <c r="R266" s="9"/>
      <c r="S266" s="13"/>
      <c r="T266" s="103"/>
      <c r="U266" s="103"/>
      <c r="V266" s="104"/>
      <c r="W266" s="29"/>
    </row>
    <row r="267" spans="1:23" x14ac:dyDescent="0.3">
      <c r="A267" s="49"/>
      <c r="B267" s="49"/>
      <c r="C267" s="49"/>
      <c r="D267" s="94"/>
      <c r="G267" s="88"/>
      <c r="H267" s="87"/>
      <c r="I267" s="87"/>
      <c r="J267" s="123"/>
      <c r="K267" s="140"/>
      <c r="L267" s="130"/>
      <c r="M267" s="129"/>
      <c r="N267" s="76"/>
      <c r="O267" s="144"/>
      <c r="P267" s="6"/>
      <c r="Q267" s="16"/>
      <c r="R267" s="106"/>
      <c r="S267" s="110"/>
      <c r="T267" s="103"/>
      <c r="U267" s="103"/>
      <c r="V267" s="104"/>
      <c r="W267" s="29"/>
    </row>
    <row r="268" spans="1:23" x14ac:dyDescent="0.3">
      <c r="A268" s="49"/>
      <c r="B268" s="49"/>
      <c r="C268" s="49"/>
      <c r="D268" s="94"/>
      <c r="E268" s="85"/>
      <c r="F268" s="86"/>
      <c r="G268" s="88"/>
      <c r="H268" s="87"/>
      <c r="I268" s="87"/>
      <c r="J268" s="123"/>
      <c r="K268" s="140"/>
      <c r="L268" s="130"/>
      <c r="M268" s="124"/>
      <c r="N268" s="74"/>
      <c r="O268" s="194"/>
      <c r="P268" s="6"/>
      <c r="Q268" s="16"/>
      <c r="R268" s="106"/>
      <c r="S268" s="110"/>
      <c r="T268" s="103"/>
      <c r="U268" s="103"/>
      <c r="V268" s="104"/>
      <c r="W268" s="29"/>
    </row>
    <row r="269" spans="1:23" x14ac:dyDescent="0.3">
      <c r="A269" s="49"/>
      <c r="B269" s="49"/>
      <c r="C269" s="49"/>
      <c r="D269" s="94"/>
      <c r="E269" s="89"/>
      <c r="F269" s="84"/>
      <c r="G269" s="88"/>
      <c r="H269" s="87"/>
      <c r="I269" s="87"/>
      <c r="J269" s="123"/>
      <c r="K269" s="140"/>
      <c r="L269" s="130"/>
      <c r="M269" s="124"/>
      <c r="N269" s="74"/>
      <c r="O269" s="194"/>
      <c r="P269" s="6"/>
      <c r="Q269" s="16"/>
      <c r="R269" s="106"/>
      <c r="S269" s="13"/>
      <c r="T269" s="103"/>
      <c r="U269" s="103"/>
      <c r="V269" s="104"/>
      <c r="W269" s="29"/>
    </row>
    <row r="270" spans="1:23" x14ac:dyDescent="0.3">
      <c r="A270" s="49"/>
      <c r="B270" s="49"/>
      <c r="C270" s="49"/>
      <c r="D270" s="94"/>
      <c r="E270" s="89"/>
      <c r="F270" s="84"/>
      <c r="G270" s="88"/>
      <c r="H270" s="87"/>
      <c r="I270" s="87"/>
      <c r="J270" s="123"/>
      <c r="K270" s="140"/>
      <c r="L270" s="130"/>
      <c r="M270" s="129"/>
      <c r="N270" s="76"/>
      <c r="O270" s="144"/>
      <c r="P270" s="6"/>
      <c r="Q270" s="16"/>
      <c r="R270" s="106"/>
      <c r="S270" s="13"/>
      <c r="T270" s="103"/>
      <c r="U270" s="103"/>
      <c r="V270" s="104"/>
      <c r="W270" s="29"/>
    </row>
    <row r="271" spans="1:23" x14ac:dyDescent="0.3">
      <c r="A271" s="49"/>
      <c r="B271" s="49"/>
      <c r="C271" s="49"/>
      <c r="D271" s="94"/>
      <c r="E271" s="85"/>
      <c r="F271" s="86"/>
      <c r="G271" s="88"/>
      <c r="H271" s="87"/>
      <c r="I271" s="87"/>
      <c r="J271" s="123"/>
      <c r="K271" s="140"/>
      <c r="L271" s="130"/>
      <c r="M271" s="124"/>
      <c r="N271" s="74"/>
      <c r="O271" s="194"/>
      <c r="P271" s="6"/>
      <c r="Q271" s="165"/>
      <c r="R271" s="106"/>
      <c r="S271" s="110"/>
      <c r="T271" s="103"/>
      <c r="U271" s="103"/>
      <c r="V271" s="104"/>
      <c r="W271" s="29"/>
    </row>
    <row r="272" spans="1:23" x14ac:dyDescent="0.3">
      <c r="A272" s="49"/>
      <c r="B272" s="49"/>
      <c r="C272" s="49"/>
      <c r="D272" s="94"/>
      <c r="E272" s="89"/>
      <c r="F272" s="84"/>
      <c r="G272" s="88"/>
      <c r="H272" s="87"/>
      <c r="I272" s="87"/>
      <c r="J272" s="123"/>
      <c r="K272" s="140"/>
      <c r="L272" s="130"/>
      <c r="M272" s="124"/>
      <c r="N272" s="74"/>
      <c r="O272" s="194"/>
      <c r="P272" s="6"/>
      <c r="Q272" s="165"/>
      <c r="R272" s="106"/>
      <c r="S272" s="110"/>
      <c r="T272" s="103"/>
      <c r="U272" s="103"/>
      <c r="V272" s="104"/>
      <c r="W272" s="29"/>
    </row>
    <row r="273" spans="1:23" x14ac:dyDescent="0.3">
      <c r="A273" s="49"/>
      <c r="B273" s="49"/>
      <c r="C273" s="49"/>
      <c r="D273" s="94"/>
      <c r="E273" s="89"/>
      <c r="F273" s="84"/>
      <c r="G273" s="88"/>
      <c r="H273" s="87"/>
      <c r="I273" s="87"/>
      <c r="J273" s="123"/>
      <c r="K273" s="140"/>
      <c r="L273" s="130"/>
      <c r="M273" s="124"/>
      <c r="N273" s="74"/>
      <c r="O273" s="194"/>
      <c r="P273" s="6"/>
      <c r="Q273" s="16"/>
      <c r="R273" s="8"/>
      <c r="S273" s="13"/>
      <c r="T273" s="103"/>
      <c r="U273" s="103"/>
      <c r="V273" s="104"/>
      <c r="W273" s="29"/>
    </row>
    <row r="274" spans="1:23" x14ac:dyDescent="0.3">
      <c r="A274" s="49"/>
      <c r="B274" s="49"/>
      <c r="C274" s="49"/>
      <c r="D274" s="94"/>
      <c r="E274" s="89"/>
      <c r="F274" s="84"/>
      <c r="G274" s="88"/>
      <c r="H274" s="87"/>
      <c r="I274" s="87"/>
      <c r="J274" s="123"/>
      <c r="K274" s="140"/>
      <c r="L274" s="130"/>
      <c r="M274" s="124"/>
      <c r="N274" s="74"/>
      <c r="O274" s="194"/>
      <c r="P274" s="6"/>
      <c r="Q274" s="16"/>
      <c r="R274" s="9"/>
      <c r="S274" s="13"/>
      <c r="T274" s="103"/>
      <c r="U274" s="103"/>
      <c r="V274" s="104"/>
      <c r="W274" s="29"/>
    </row>
    <row r="275" spans="1:23" x14ac:dyDescent="0.3">
      <c r="A275" s="49"/>
      <c r="B275" s="49"/>
      <c r="C275" s="49"/>
      <c r="D275" s="94"/>
      <c r="E275" s="89"/>
      <c r="F275" s="84"/>
      <c r="G275" s="88"/>
      <c r="H275" s="87"/>
      <c r="I275" s="87"/>
      <c r="J275" s="123"/>
      <c r="K275" s="140"/>
      <c r="L275" s="130"/>
      <c r="M275" s="124"/>
      <c r="N275" s="74"/>
      <c r="O275" s="194"/>
      <c r="P275" s="6"/>
      <c r="Q275" s="16"/>
      <c r="R275" s="8"/>
      <c r="S275" s="13"/>
      <c r="T275" s="103"/>
      <c r="U275" s="103"/>
      <c r="V275" s="104"/>
      <c r="W275" s="29"/>
    </row>
    <row r="276" spans="1:23" x14ac:dyDescent="0.3">
      <c r="A276" s="49"/>
      <c r="B276" s="49"/>
      <c r="C276" s="49"/>
      <c r="D276" s="94"/>
      <c r="E276" s="89"/>
      <c r="F276" s="84"/>
      <c r="G276" s="88"/>
      <c r="H276" s="87"/>
      <c r="I276" s="87"/>
      <c r="J276" s="123"/>
      <c r="K276" s="140"/>
      <c r="L276" s="130"/>
      <c r="M276" s="124"/>
      <c r="N276" s="74"/>
      <c r="O276" s="194"/>
      <c r="P276" s="6"/>
      <c r="Q276" s="16"/>
      <c r="R276" s="8"/>
      <c r="S276" s="13"/>
      <c r="T276" s="103"/>
      <c r="U276" s="103"/>
      <c r="V276" s="104"/>
      <c r="W276" s="29"/>
    </row>
    <row r="277" spans="1:23" x14ac:dyDescent="0.3">
      <c r="A277" s="49"/>
      <c r="B277" s="49"/>
      <c r="C277" s="49"/>
      <c r="D277" s="94"/>
      <c r="E277" s="89"/>
      <c r="F277" s="84"/>
      <c r="G277" s="89"/>
      <c r="H277" s="84"/>
      <c r="I277" s="84"/>
      <c r="J277" s="119"/>
      <c r="K277" s="140"/>
      <c r="L277" s="131"/>
      <c r="M277" s="128"/>
      <c r="N277" s="75"/>
      <c r="O277" s="152"/>
      <c r="P277" s="6"/>
      <c r="Q277" s="16"/>
      <c r="R277" s="8"/>
      <c r="S277" s="13"/>
      <c r="T277" s="103"/>
      <c r="U277" s="103"/>
      <c r="V277" s="104"/>
      <c r="W277" s="29"/>
    </row>
    <row r="278" spans="1:23" x14ac:dyDescent="0.3">
      <c r="A278" s="49"/>
      <c r="B278" s="49"/>
      <c r="C278" s="49"/>
      <c r="D278" s="94"/>
      <c r="E278" s="85"/>
      <c r="F278" s="86"/>
      <c r="G278" s="88"/>
      <c r="H278" s="87"/>
      <c r="I278" s="87"/>
      <c r="J278" s="123"/>
      <c r="K278" s="140"/>
      <c r="L278" s="130"/>
      <c r="M278" s="128"/>
      <c r="N278" s="75"/>
      <c r="O278" s="152"/>
      <c r="P278" s="6"/>
      <c r="Q278" s="16"/>
      <c r="R278" s="106"/>
      <c r="S278" s="110"/>
      <c r="T278" s="103"/>
      <c r="U278" s="103"/>
      <c r="V278" s="104"/>
      <c r="W278" s="29"/>
    </row>
    <row r="279" spans="1:23" x14ac:dyDescent="0.3">
      <c r="A279" s="49"/>
      <c r="B279" s="49"/>
      <c r="C279" s="49"/>
      <c r="D279" s="94"/>
      <c r="E279" s="85"/>
      <c r="F279" s="86"/>
      <c r="G279" s="88"/>
      <c r="H279" s="87"/>
      <c r="I279" s="87"/>
      <c r="J279" s="123"/>
      <c r="K279" s="140"/>
      <c r="L279" s="130"/>
      <c r="M279" s="128"/>
      <c r="N279" s="75"/>
      <c r="O279" s="152"/>
      <c r="P279" s="6"/>
      <c r="Q279" s="16"/>
      <c r="R279" s="9"/>
      <c r="S279" s="13"/>
      <c r="T279" s="103"/>
      <c r="U279" s="103"/>
      <c r="V279" s="104"/>
      <c r="W279" s="29"/>
    </row>
    <row r="280" spans="1:23" x14ac:dyDescent="0.3">
      <c r="A280" s="49"/>
      <c r="B280" s="49"/>
      <c r="C280" s="49"/>
      <c r="D280" s="94"/>
      <c r="E280" s="89"/>
      <c r="F280" s="84"/>
      <c r="G280" s="88"/>
      <c r="H280" s="87"/>
      <c r="I280" s="87"/>
      <c r="J280" s="123"/>
      <c r="K280" s="140"/>
      <c r="L280" s="130"/>
      <c r="M280" s="128"/>
      <c r="N280" s="75"/>
      <c r="O280" s="152"/>
      <c r="P280" s="6"/>
      <c r="Q280" s="16"/>
      <c r="R280" s="8"/>
      <c r="S280" s="13"/>
      <c r="T280" s="103"/>
      <c r="U280" s="103"/>
      <c r="V280" s="104"/>
      <c r="W280" s="29"/>
    </row>
    <row r="281" spans="1:23" x14ac:dyDescent="0.3">
      <c r="A281" s="49"/>
      <c r="B281" s="49"/>
      <c r="C281" s="49"/>
      <c r="D281" s="94"/>
      <c r="E281" s="89"/>
      <c r="F281" s="84"/>
      <c r="G281" s="88"/>
      <c r="H281" s="87"/>
      <c r="I281" s="87"/>
      <c r="J281" s="123"/>
      <c r="K281" s="140"/>
      <c r="L281" s="130"/>
      <c r="M281" s="128"/>
      <c r="N281" s="75"/>
      <c r="O281" s="152"/>
      <c r="P281" s="6"/>
      <c r="Q281" s="16"/>
      <c r="R281" s="8"/>
      <c r="S281" s="13"/>
      <c r="T281" s="103"/>
      <c r="U281" s="103"/>
      <c r="V281" s="104"/>
      <c r="W281" s="29"/>
    </row>
    <row r="282" spans="1:23" x14ac:dyDescent="0.3">
      <c r="A282" s="49"/>
      <c r="B282" s="49"/>
      <c r="C282" s="49"/>
      <c r="D282" s="94"/>
      <c r="E282" s="85"/>
      <c r="F282" s="86"/>
      <c r="G282" s="88"/>
      <c r="H282" s="87"/>
      <c r="I282" s="87"/>
      <c r="J282" s="123"/>
      <c r="K282" s="138"/>
      <c r="L282" s="130"/>
      <c r="M282" s="121"/>
      <c r="N282" s="72"/>
      <c r="O282" s="152"/>
      <c r="P282" s="6"/>
      <c r="Q282" s="192"/>
      <c r="R282" s="96"/>
      <c r="S282" s="13"/>
      <c r="T282" s="13"/>
      <c r="U282" s="13"/>
      <c r="V282" s="100"/>
      <c r="W282" s="30"/>
    </row>
    <row r="283" spans="1:23" x14ac:dyDescent="0.3">
      <c r="A283" s="50"/>
      <c r="B283" s="50"/>
      <c r="C283" s="50"/>
      <c r="D283" s="95"/>
      <c r="E283" s="89"/>
      <c r="F283" s="84"/>
      <c r="G283" s="88"/>
      <c r="H283" s="87"/>
      <c r="I283" s="87"/>
      <c r="J283" s="123"/>
      <c r="K283" s="140"/>
      <c r="L283" s="130"/>
      <c r="M283" s="129"/>
      <c r="N283" s="76"/>
      <c r="O283" s="144"/>
      <c r="P283" s="6"/>
      <c r="Q283" s="16"/>
      <c r="R283" s="106"/>
      <c r="S283" s="13"/>
      <c r="T283" s="103"/>
      <c r="U283" s="103"/>
      <c r="V283" s="104"/>
      <c r="W283" s="29"/>
    </row>
    <row r="284" spans="1:23" x14ac:dyDescent="0.3">
      <c r="A284" s="49"/>
      <c r="B284" s="49"/>
      <c r="C284" s="49"/>
      <c r="D284" s="94"/>
      <c r="E284" s="85"/>
      <c r="F284" s="86"/>
      <c r="G284" s="85"/>
      <c r="H284" s="86"/>
      <c r="I284" s="87"/>
      <c r="J284" s="123"/>
      <c r="K284" s="140"/>
      <c r="L284" s="130"/>
      <c r="M284" s="129"/>
      <c r="N284" s="76"/>
      <c r="O284" s="194"/>
      <c r="P284" s="6"/>
      <c r="Q284" s="16"/>
      <c r="R284" s="106"/>
      <c r="S284" s="110"/>
      <c r="T284" s="103"/>
      <c r="U284" s="103"/>
      <c r="V284" s="104"/>
      <c r="W284" s="29"/>
    </row>
    <row r="285" spans="1:23" x14ac:dyDescent="0.3">
      <c r="A285" s="49"/>
      <c r="B285" s="49"/>
      <c r="C285" s="49"/>
      <c r="D285" s="94"/>
      <c r="E285" s="85"/>
      <c r="F285" s="86"/>
      <c r="G285" s="88"/>
      <c r="H285" s="87"/>
      <c r="I285" s="87"/>
      <c r="J285" s="123"/>
      <c r="K285" s="140"/>
      <c r="L285" s="130"/>
      <c r="M285" s="129"/>
      <c r="N285" s="76"/>
      <c r="O285" s="144"/>
      <c r="P285" s="6"/>
      <c r="Q285" s="165"/>
      <c r="R285" s="106"/>
      <c r="S285" s="13"/>
      <c r="T285" s="103"/>
      <c r="U285" s="103"/>
      <c r="V285" s="104"/>
      <c r="W285" s="29"/>
    </row>
    <row r="286" spans="1:23" x14ac:dyDescent="0.3">
      <c r="A286" s="49"/>
      <c r="B286" s="49"/>
      <c r="C286" s="49"/>
      <c r="D286" s="94"/>
      <c r="E286" s="85"/>
      <c r="F286" s="86"/>
      <c r="G286" s="88"/>
      <c r="H286" s="87"/>
      <c r="I286" s="87"/>
      <c r="J286" s="123"/>
      <c r="K286" s="140"/>
      <c r="L286" s="130"/>
      <c r="M286" s="129"/>
      <c r="N286" s="76"/>
      <c r="O286" s="144"/>
      <c r="P286" s="6"/>
      <c r="Q286" s="16"/>
      <c r="R286" s="106"/>
      <c r="S286" s="110"/>
      <c r="T286" s="103"/>
      <c r="U286" s="103"/>
      <c r="V286" s="104"/>
      <c r="W286" s="29"/>
    </row>
    <row r="287" spans="1:23" x14ac:dyDescent="0.3">
      <c r="A287" s="49"/>
      <c r="B287" s="49"/>
      <c r="C287" s="49"/>
      <c r="D287" s="94"/>
      <c r="E287" s="85"/>
      <c r="F287" s="86"/>
      <c r="G287" s="88"/>
      <c r="H287" s="87"/>
      <c r="I287" s="87"/>
      <c r="J287" s="123"/>
      <c r="K287" s="140"/>
      <c r="L287" s="130"/>
      <c r="M287" s="129"/>
      <c r="N287" s="76"/>
      <c r="O287" s="194"/>
      <c r="P287" s="6"/>
      <c r="Q287" s="165"/>
      <c r="R287" s="8"/>
      <c r="S287" s="13"/>
      <c r="T287" s="103"/>
      <c r="U287" s="103"/>
      <c r="V287" s="104"/>
      <c r="W287" s="29"/>
    </row>
    <row r="288" spans="1:23" x14ac:dyDescent="0.3">
      <c r="A288" s="49"/>
      <c r="B288" s="49"/>
      <c r="C288" s="49"/>
      <c r="D288" s="94"/>
      <c r="E288" s="85"/>
      <c r="F288" s="86"/>
      <c r="G288" s="88"/>
      <c r="H288" s="87"/>
      <c r="I288" s="87"/>
      <c r="J288" s="123"/>
      <c r="K288" s="140"/>
      <c r="L288" s="130"/>
      <c r="M288" s="129"/>
      <c r="N288" s="76"/>
      <c r="O288" s="144"/>
      <c r="P288" s="6"/>
      <c r="Q288" s="16"/>
      <c r="R288" s="106"/>
      <c r="S288" s="13"/>
      <c r="T288" s="103"/>
      <c r="U288" s="103"/>
      <c r="V288" s="104"/>
      <c r="W288" s="29"/>
    </row>
    <row r="289" spans="1:23" x14ac:dyDescent="0.3">
      <c r="A289" s="49"/>
      <c r="B289" s="49"/>
      <c r="C289" s="49"/>
      <c r="D289" s="94"/>
      <c r="E289" s="85"/>
      <c r="F289" s="86"/>
      <c r="G289" s="88"/>
      <c r="H289" s="87"/>
      <c r="I289" s="87"/>
      <c r="J289" s="123"/>
      <c r="K289" s="140"/>
      <c r="L289" s="130"/>
      <c r="M289" s="129"/>
      <c r="N289" s="76"/>
      <c r="O289" s="144"/>
      <c r="P289" s="6"/>
      <c r="Q289" s="16"/>
      <c r="R289" s="8"/>
      <c r="S289" s="13"/>
      <c r="T289" s="103"/>
      <c r="U289" s="103"/>
      <c r="V289" s="104"/>
      <c r="W289" s="29"/>
    </row>
    <row r="290" spans="1:23" x14ac:dyDescent="0.3">
      <c r="A290" s="49"/>
      <c r="B290" s="49"/>
      <c r="C290" s="49"/>
      <c r="D290" s="94"/>
      <c r="E290" s="85"/>
      <c r="F290" s="86"/>
      <c r="G290" s="89"/>
      <c r="H290" s="84"/>
      <c r="I290" s="84"/>
      <c r="J290" s="119"/>
      <c r="K290" s="140"/>
      <c r="L290" s="131"/>
      <c r="M290" s="129"/>
      <c r="N290" s="76"/>
      <c r="O290" s="144"/>
      <c r="P290" s="6"/>
      <c r="Q290" s="16"/>
      <c r="R290" s="106"/>
      <c r="S290" s="13"/>
      <c r="T290" s="103"/>
      <c r="U290" s="103"/>
      <c r="V290" s="104"/>
      <c r="W290" s="29"/>
    </row>
    <row r="291" spans="1:23" x14ac:dyDescent="0.3">
      <c r="A291" s="49"/>
      <c r="B291" s="49"/>
      <c r="C291" s="49"/>
      <c r="D291" s="94"/>
      <c r="E291" s="85"/>
      <c r="F291" s="86"/>
      <c r="G291" s="88"/>
      <c r="H291" s="87"/>
      <c r="I291" s="87"/>
      <c r="J291" s="123"/>
      <c r="K291" s="140"/>
      <c r="L291" s="130"/>
      <c r="M291" s="129"/>
      <c r="N291" s="76"/>
      <c r="O291" s="144"/>
      <c r="P291" s="6"/>
      <c r="Q291" s="16"/>
      <c r="R291" s="106"/>
      <c r="S291" s="13"/>
      <c r="T291" s="103"/>
      <c r="U291" s="103"/>
      <c r="V291" s="104"/>
      <c r="W291" s="29"/>
    </row>
    <row r="292" spans="1:23" x14ac:dyDescent="0.3">
      <c r="A292" s="49"/>
      <c r="B292" s="49"/>
      <c r="C292" s="49"/>
      <c r="D292" s="94"/>
      <c r="E292" s="85"/>
      <c r="F292" s="86"/>
      <c r="G292" s="88"/>
      <c r="H292" s="87"/>
      <c r="I292" s="87"/>
      <c r="J292" s="123"/>
      <c r="K292" s="140"/>
      <c r="L292" s="130"/>
      <c r="M292" s="129"/>
      <c r="N292" s="76"/>
      <c r="O292" s="144"/>
      <c r="P292" s="6"/>
      <c r="Q292" s="16"/>
      <c r="R292" s="9"/>
      <c r="S292" s="13"/>
      <c r="T292" s="103"/>
      <c r="U292" s="103"/>
      <c r="V292" s="104"/>
      <c r="W292" s="29"/>
    </row>
    <row r="293" spans="1:23" x14ac:dyDescent="0.3">
      <c r="A293" s="49"/>
      <c r="B293" s="49"/>
      <c r="C293" s="49"/>
      <c r="D293" s="94"/>
      <c r="E293" s="85"/>
      <c r="F293" s="86"/>
      <c r="G293" s="88"/>
      <c r="H293" s="87"/>
      <c r="I293" s="87"/>
      <c r="J293" s="123"/>
      <c r="K293" s="140"/>
      <c r="L293" s="130"/>
      <c r="M293" s="129"/>
      <c r="N293" s="76"/>
      <c r="O293" s="144"/>
      <c r="P293" s="6"/>
      <c r="Q293" s="16"/>
      <c r="R293" s="8"/>
      <c r="S293" s="13"/>
      <c r="T293" s="103"/>
      <c r="U293" s="103"/>
      <c r="V293" s="104"/>
      <c r="W293" s="29"/>
    </row>
    <row r="294" spans="1:23" x14ac:dyDescent="0.3">
      <c r="A294" s="49"/>
      <c r="B294" s="49"/>
      <c r="C294" s="49"/>
      <c r="D294" s="94"/>
      <c r="E294" s="85"/>
      <c r="F294" s="86"/>
      <c r="G294" s="88"/>
      <c r="H294" s="87"/>
      <c r="I294" s="87"/>
      <c r="J294" s="123"/>
      <c r="K294" s="140"/>
      <c r="L294" s="130"/>
      <c r="M294" s="129"/>
      <c r="N294" s="76"/>
      <c r="O294" s="144"/>
      <c r="P294" s="6"/>
      <c r="Q294" s="16"/>
      <c r="R294" s="8"/>
      <c r="S294" s="13"/>
      <c r="T294" s="103"/>
      <c r="U294" s="103"/>
      <c r="V294" s="104"/>
      <c r="W294" s="29"/>
    </row>
    <row r="295" spans="1:23" x14ac:dyDescent="0.3">
      <c r="A295" s="49"/>
      <c r="B295" s="49"/>
      <c r="C295" s="49"/>
      <c r="D295" s="94"/>
      <c r="E295" s="85"/>
      <c r="F295" s="86"/>
      <c r="G295" s="89"/>
      <c r="H295" s="84"/>
      <c r="I295" s="84"/>
      <c r="J295" s="119"/>
      <c r="K295" s="140"/>
      <c r="L295" s="131"/>
      <c r="M295" s="124"/>
      <c r="N295" s="74"/>
      <c r="O295" s="194"/>
      <c r="P295" s="6"/>
      <c r="Q295" s="16"/>
      <c r="R295" s="9"/>
      <c r="S295" s="110"/>
      <c r="T295" s="103"/>
      <c r="U295" s="103"/>
      <c r="V295" s="104"/>
      <c r="W295" s="29"/>
    </row>
    <row r="296" spans="1:23" x14ac:dyDescent="0.3">
      <c r="A296" s="49"/>
      <c r="B296" s="49"/>
      <c r="C296" s="49"/>
      <c r="D296" s="94"/>
      <c r="E296" s="89"/>
      <c r="F296" s="84"/>
      <c r="G296" s="85"/>
      <c r="H296" s="86"/>
      <c r="I296" s="87"/>
      <c r="J296" s="123"/>
      <c r="K296" s="140"/>
      <c r="L296" s="130"/>
      <c r="M296" s="129"/>
      <c r="N296" s="76"/>
      <c r="O296" s="194"/>
      <c r="P296" s="6"/>
      <c r="Q296" s="16"/>
      <c r="R296" s="8"/>
      <c r="S296" s="13"/>
      <c r="T296" s="103"/>
      <c r="U296" s="103"/>
      <c r="V296" s="104"/>
      <c r="W296" s="29"/>
    </row>
    <row r="297" spans="1:23" x14ac:dyDescent="0.3">
      <c r="A297" s="49"/>
      <c r="B297" s="49"/>
      <c r="C297" s="49"/>
      <c r="D297" s="94"/>
      <c r="E297" s="85"/>
      <c r="F297" s="86"/>
      <c r="G297" s="85"/>
      <c r="H297" s="86"/>
      <c r="I297" s="87"/>
      <c r="J297" s="123"/>
      <c r="K297" s="140"/>
      <c r="L297" s="130"/>
      <c r="M297" s="129"/>
      <c r="N297" s="76"/>
      <c r="O297" s="144"/>
      <c r="P297" s="6"/>
      <c r="Q297" s="16"/>
      <c r="R297" s="9"/>
      <c r="S297" s="13"/>
      <c r="T297" s="103"/>
      <c r="U297" s="103"/>
      <c r="V297" s="104"/>
      <c r="W297" s="29"/>
    </row>
    <row r="298" spans="1:23" x14ac:dyDescent="0.3">
      <c r="A298" s="49"/>
      <c r="B298" s="49"/>
      <c r="C298" s="49"/>
      <c r="D298" s="94"/>
      <c r="E298" s="85"/>
      <c r="F298" s="86"/>
      <c r="G298" s="88"/>
      <c r="H298" s="87"/>
      <c r="I298" s="87"/>
      <c r="J298" s="123"/>
      <c r="K298" s="140"/>
      <c r="L298" s="130"/>
      <c r="M298" s="129"/>
      <c r="N298" s="76"/>
      <c r="O298" s="144"/>
      <c r="P298" s="6"/>
      <c r="Q298" s="16"/>
      <c r="R298" s="106"/>
      <c r="S298" s="13"/>
      <c r="T298" s="103"/>
      <c r="U298" s="103"/>
      <c r="V298" s="104"/>
      <c r="W298" s="29"/>
    </row>
    <row r="299" spans="1:23" x14ac:dyDescent="0.3">
      <c r="A299" s="49"/>
      <c r="B299" s="49"/>
      <c r="C299" s="49"/>
      <c r="D299" s="94"/>
      <c r="E299" s="85"/>
      <c r="F299" s="86"/>
      <c r="G299" s="88"/>
      <c r="H299" s="87"/>
      <c r="I299" s="87"/>
      <c r="J299" s="123"/>
      <c r="K299" s="140"/>
      <c r="L299" s="130"/>
      <c r="M299" s="129"/>
      <c r="N299" s="76"/>
      <c r="O299" s="144"/>
      <c r="P299" s="6"/>
      <c r="Q299" s="16"/>
      <c r="R299" s="106"/>
      <c r="S299" s="13"/>
      <c r="T299" s="103"/>
      <c r="U299" s="103"/>
      <c r="V299" s="104"/>
      <c r="W299" s="29"/>
    </row>
    <row r="300" spans="1:23" x14ac:dyDescent="0.3">
      <c r="A300" s="49"/>
      <c r="B300" s="49"/>
      <c r="C300" s="49"/>
      <c r="D300" s="94"/>
      <c r="E300" s="85"/>
      <c r="F300" s="86"/>
      <c r="G300" s="88"/>
      <c r="H300" s="87"/>
      <c r="I300" s="87"/>
      <c r="J300" s="123"/>
      <c r="K300" s="140"/>
      <c r="L300" s="130"/>
      <c r="M300" s="129"/>
      <c r="N300" s="76"/>
      <c r="O300" s="144"/>
      <c r="P300" s="6"/>
      <c r="Q300" s="165"/>
      <c r="R300" s="106"/>
      <c r="S300" s="13"/>
      <c r="T300" s="103"/>
      <c r="U300" s="103"/>
      <c r="V300" s="104"/>
      <c r="W300" s="29"/>
    </row>
    <row r="301" spans="1:23" x14ac:dyDescent="0.3">
      <c r="A301" s="49"/>
      <c r="B301" s="49"/>
      <c r="C301" s="49"/>
      <c r="D301" s="94"/>
      <c r="E301" s="85"/>
      <c r="F301" s="86"/>
      <c r="G301" s="89"/>
      <c r="H301" s="84"/>
      <c r="I301" s="87"/>
      <c r="J301" s="123"/>
      <c r="K301" s="140"/>
      <c r="L301" s="130"/>
      <c r="M301" s="124"/>
      <c r="N301" s="74"/>
      <c r="O301" s="194"/>
      <c r="P301" s="6"/>
      <c r="Q301" s="165"/>
      <c r="R301" s="106"/>
      <c r="S301" s="13"/>
      <c r="T301" s="103"/>
      <c r="U301" s="103"/>
      <c r="V301" s="104"/>
      <c r="W301" s="29"/>
    </row>
    <row r="302" spans="1:23" x14ac:dyDescent="0.3">
      <c r="A302" s="49"/>
      <c r="B302" s="49"/>
      <c r="C302" s="49"/>
      <c r="D302" s="94"/>
      <c r="E302" s="85"/>
      <c r="F302" s="86"/>
      <c r="G302" s="88"/>
      <c r="H302" s="87"/>
      <c r="I302" s="87"/>
      <c r="J302" s="123"/>
      <c r="K302" s="140"/>
      <c r="L302" s="130"/>
      <c r="M302" s="124"/>
      <c r="N302" s="74"/>
      <c r="O302" s="194"/>
      <c r="P302" s="6"/>
      <c r="Q302" s="16"/>
      <c r="R302" s="106"/>
      <c r="S302" s="13"/>
      <c r="T302" s="103"/>
      <c r="U302" s="103"/>
      <c r="V302" s="104"/>
      <c r="W302" s="29"/>
    </row>
    <row r="303" spans="1:23" x14ac:dyDescent="0.3">
      <c r="A303" s="49"/>
      <c r="B303" s="49"/>
      <c r="C303" s="49"/>
      <c r="D303" s="94"/>
      <c r="G303" s="88"/>
      <c r="H303" s="87"/>
      <c r="I303" s="87"/>
      <c r="J303" s="123"/>
      <c r="K303" s="140"/>
      <c r="L303" s="130"/>
      <c r="M303" s="129"/>
      <c r="N303" s="76"/>
      <c r="O303" s="144"/>
      <c r="P303" s="6"/>
      <c r="Q303" s="16"/>
      <c r="R303" s="106"/>
      <c r="S303" s="13"/>
      <c r="T303" s="103"/>
      <c r="U303" s="103"/>
      <c r="V303" s="104"/>
      <c r="W303" s="29"/>
    </row>
    <row r="304" spans="1:23" x14ac:dyDescent="0.3">
      <c r="A304" s="49"/>
      <c r="B304" s="49"/>
      <c r="C304" s="49"/>
      <c r="D304" s="94"/>
      <c r="E304" s="85"/>
      <c r="F304" s="86"/>
      <c r="G304" s="88"/>
      <c r="H304" s="87"/>
      <c r="I304" s="87"/>
      <c r="J304" s="123"/>
      <c r="K304" s="140"/>
      <c r="L304" s="130"/>
      <c r="M304" s="129"/>
      <c r="N304" s="76"/>
      <c r="O304" s="144"/>
      <c r="P304" s="6"/>
      <c r="Q304" s="16"/>
      <c r="R304" s="106"/>
      <c r="S304" s="13"/>
      <c r="T304" s="103"/>
      <c r="U304" s="103"/>
      <c r="V304" s="104"/>
      <c r="W304" s="29"/>
    </row>
    <row r="305" spans="1:23" x14ac:dyDescent="0.3">
      <c r="A305" s="49"/>
      <c r="B305" s="49"/>
      <c r="C305" s="49"/>
      <c r="D305" s="94"/>
      <c r="E305" s="85"/>
      <c r="F305" s="86"/>
      <c r="G305" s="88"/>
      <c r="H305" s="87"/>
      <c r="I305" s="87"/>
      <c r="J305" s="123"/>
      <c r="K305" s="140"/>
      <c r="L305" s="130"/>
      <c r="M305" s="129"/>
      <c r="N305" s="76"/>
      <c r="O305" s="144"/>
      <c r="P305" s="6"/>
      <c r="Q305" s="16"/>
      <c r="R305" s="106"/>
      <c r="S305" s="13"/>
      <c r="T305" s="103"/>
      <c r="U305" s="103"/>
      <c r="V305" s="104"/>
      <c r="W305" s="29"/>
    </row>
    <row r="306" spans="1:23" x14ac:dyDescent="0.3">
      <c r="A306" s="49"/>
      <c r="B306" s="49"/>
      <c r="C306" s="49"/>
      <c r="D306" s="94"/>
      <c r="E306" s="85"/>
      <c r="F306" s="86"/>
      <c r="G306" s="88"/>
      <c r="H306" s="87"/>
      <c r="I306" s="87"/>
      <c r="J306" s="123"/>
      <c r="K306" s="140"/>
      <c r="L306" s="130"/>
      <c r="M306" s="118"/>
      <c r="N306" s="78"/>
      <c r="O306" s="216"/>
      <c r="P306" s="6"/>
      <c r="Q306" s="16"/>
      <c r="R306" s="106"/>
      <c r="S306" s="13"/>
      <c r="T306" s="103"/>
      <c r="U306" s="103"/>
      <c r="V306" s="104"/>
      <c r="W306" s="29"/>
    </row>
    <row r="307" spans="1:23" x14ac:dyDescent="0.3">
      <c r="A307" s="49"/>
      <c r="B307" s="49"/>
      <c r="C307" s="49"/>
      <c r="D307" s="94"/>
      <c r="E307" s="85"/>
      <c r="F307" s="86"/>
      <c r="G307" s="88"/>
      <c r="H307" s="87"/>
      <c r="I307" s="87"/>
      <c r="J307" s="123"/>
      <c r="K307" s="138"/>
      <c r="L307" s="130"/>
      <c r="M307" s="122"/>
      <c r="N307" s="79"/>
      <c r="O307" s="216"/>
      <c r="P307" s="6"/>
      <c r="Q307" s="192"/>
      <c r="R307" s="59"/>
      <c r="S307" s="13"/>
      <c r="T307" s="13"/>
      <c r="U307" s="13"/>
      <c r="V307" s="17"/>
      <c r="W307" s="30"/>
    </row>
    <row r="308" spans="1:23" x14ac:dyDescent="0.3">
      <c r="A308" s="33"/>
      <c r="B308" s="33"/>
      <c r="C308" s="33"/>
      <c r="D308" s="96"/>
      <c r="E308" s="89"/>
      <c r="F308" s="84"/>
      <c r="G308" s="85"/>
      <c r="H308" s="86"/>
      <c r="I308" s="87"/>
      <c r="J308" s="123"/>
      <c r="K308" s="138"/>
      <c r="L308" s="130"/>
      <c r="M308" s="118"/>
      <c r="N308" s="78"/>
      <c r="O308" s="216"/>
      <c r="P308" s="6"/>
      <c r="Q308" s="165"/>
      <c r="R308" s="9"/>
      <c r="S308" s="13"/>
      <c r="T308" s="110"/>
      <c r="U308" s="13"/>
      <c r="V308" s="108"/>
      <c r="W308" s="29"/>
    </row>
    <row r="309" spans="1:23" x14ac:dyDescent="0.3">
      <c r="A309" s="1"/>
      <c r="B309" s="1"/>
      <c r="C309" s="1"/>
      <c r="D309" s="4"/>
      <c r="E309" s="85"/>
      <c r="F309" s="86"/>
      <c r="G309" s="88"/>
      <c r="H309" s="87"/>
      <c r="I309" s="87"/>
      <c r="J309" s="123"/>
      <c r="K309" s="138"/>
      <c r="L309" s="130"/>
      <c r="M309" s="118"/>
      <c r="N309" s="78"/>
      <c r="O309" s="216"/>
      <c r="P309" s="6"/>
      <c r="Q309" s="16"/>
      <c r="R309" s="8"/>
      <c r="S309" s="13"/>
      <c r="T309" s="13"/>
      <c r="U309" s="13"/>
      <c r="V309" s="108"/>
      <c r="W309" s="29"/>
    </row>
    <row r="310" spans="1:23" x14ac:dyDescent="0.3">
      <c r="A310" s="1"/>
      <c r="B310" s="1"/>
      <c r="C310" s="1"/>
      <c r="D310" s="4"/>
      <c r="E310" s="89"/>
      <c r="F310" s="84"/>
      <c r="G310" s="88"/>
      <c r="H310" s="87"/>
      <c r="I310" s="87"/>
      <c r="J310" s="123"/>
      <c r="K310" s="138"/>
      <c r="L310" s="130"/>
      <c r="M310" s="128"/>
      <c r="N310" s="75"/>
      <c r="O310" s="152"/>
      <c r="P310" s="6"/>
      <c r="Q310" s="16"/>
      <c r="R310" s="8"/>
      <c r="S310" s="13"/>
      <c r="T310" s="13"/>
      <c r="U310" s="13"/>
      <c r="V310" s="102"/>
      <c r="W310" s="29"/>
    </row>
    <row r="311" spans="1:23" x14ac:dyDescent="0.3">
      <c r="A311" s="1"/>
      <c r="B311" s="1"/>
      <c r="C311" s="1"/>
      <c r="D311" s="4"/>
      <c r="E311" s="89"/>
      <c r="F311" s="84"/>
      <c r="G311" s="88"/>
      <c r="H311" s="87"/>
      <c r="I311" s="87"/>
      <c r="J311" s="123"/>
      <c r="K311" s="138"/>
      <c r="L311" s="130"/>
      <c r="M311" s="118"/>
      <c r="N311" s="78"/>
      <c r="O311" s="216"/>
      <c r="P311" s="6"/>
      <c r="Q311" s="16"/>
      <c r="R311" s="9"/>
      <c r="S311" s="13"/>
      <c r="T311" s="13"/>
      <c r="U311" s="13"/>
      <c r="V311" s="102"/>
      <c r="W311" s="29"/>
    </row>
    <row r="312" spans="1:23" x14ac:dyDescent="0.3">
      <c r="A312" s="1"/>
      <c r="B312" s="1"/>
      <c r="C312" s="1"/>
      <c r="D312" s="4"/>
      <c r="E312" s="89"/>
      <c r="F312" s="84"/>
    </row>
  </sheetData>
  <mergeCells count="7">
    <mergeCell ref="S1:U1"/>
    <mergeCell ref="S41:U41"/>
    <mergeCell ref="A1:D1"/>
    <mergeCell ref="E1:H1"/>
    <mergeCell ref="M1:N1"/>
    <mergeCell ref="P1:Q1"/>
    <mergeCell ref="R1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K56"/>
  <sheetViews>
    <sheetView workbookViewId="0">
      <selection activeCell="G55" sqref="G55"/>
    </sheetView>
  </sheetViews>
  <sheetFormatPr defaultRowHeight="14.4" x14ac:dyDescent="0.3"/>
  <cols>
    <col min="1" max="1" width="10.6640625" customWidth="1"/>
    <col min="2" max="2" width="7.44140625" style="196" customWidth="1"/>
    <col min="3" max="3" width="13.109375" customWidth="1"/>
    <col min="4" max="4" width="23.44140625" style="136" customWidth="1"/>
    <col min="5" max="5" width="9.109375" style="196"/>
    <col min="7" max="8" width="9.109375" style="205"/>
    <col min="9" max="9" width="22.33203125" customWidth="1"/>
    <col min="10" max="10" width="9.109375" customWidth="1"/>
  </cols>
  <sheetData>
    <row r="1" spans="1:11" ht="18" x14ac:dyDescent="0.35">
      <c r="A1" s="25"/>
      <c r="B1" s="25"/>
      <c r="C1" s="25"/>
      <c r="D1" s="135" t="s">
        <v>73</v>
      </c>
      <c r="E1" s="25"/>
      <c r="F1" s="64"/>
      <c r="G1" s="45"/>
      <c r="H1" s="45"/>
      <c r="I1" s="46"/>
      <c r="J1" s="45"/>
    </row>
    <row r="2" spans="1:11" x14ac:dyDescent="0.3">
      <c r="A2" s="14" t="s">
        <v>44</v>
      </c>
      <c r="B2" s="14"/>
      <c r="C2" s="11"/>
      <c r="D2" s="137"/>
      <c r="E2" s="11"/>
      <c r="F2" s="23"/>
      <c r="G2" s="20" t="s">
        <v>45</v>
      </c>
      <c r="H2" s="20"/>
      <c r="I2" s="43"/>
      <c r="J2" s="44"/>
    </row>
    <row r="3" spans="1:11" x14ac:dyDescent="0.3">
      <c r="A3" s="40" t="s">
        <v>46</v>
      </c>
      <c r="B3" s="40" t="s">
        <v>0</v>
      </c>
      <c r="C3" s="40" t="s">
        <v>47</v>
      </c>
      <c r="D3" s="134" t="s">
        <v>48</v>
      </c>
      <c r="E3" s="41" t="s">
        <v>49</v>
      </c>
      <c r="F3" s="64"/>
      <c r="G3" s="40" t="s">
        <v>46</v>
      </c>
      <c r="H3" s="40" t="s">
        <v>0</v>
      </c>
      <c r="I3" s="48" t="s">
        <v>50</v>
      </c>
      <c r="J3" s="22" t="s">
        <v>49</v>
      </c>
    </row>
    <row r="4" spans="1:11" x14ac:dyDescent="0.3">
      <c r="A4" s="202">
        <v>11532</v>
      </c>
      <c r="B4" s="199" t="s">
        <v>2</v>
      </c>
      <c r="C4" s="27">
        <v>34973</v>
      </c>
      <c r="D4" s="202" t="s">
        <v>104</v>
      </c>
      <c r="E4" s="200">
        <v>0.50964579074500005</v>
      </c>
      <c r="F4" s="151"/>
      <c r="G4" s="24">
        <v>11532</v>
      </c>
      <c r="H4" s="207" t="s">
        <v>2</v>
      </c>
      <c r="I4" s="210" t="s">
        <v>43</v>
      </c>
      <c r="J4" s="209">
        <v>8.5010050564099995</v>
      </c>
      <c r="K4" s="204"/>
    </row>
    <row r="5" spans="1:11" x14ac:dyDescent="0.3">
      <c r="A5" s="202">
        <v>11532</v>
      </c>
      <c r="B5" s="199" t="s">
        <v>2</v>
      </c>
      <c r="C5" s="27">
        <v>35278</v>
      </c>
      <c r="D5" s="202" t="s">
        <v>105</v>
      </c>
      <c r="E5" s="200">
        <v>2.1818006357700002</v>
      </c>
      <c r="F5" s="151"/>
      <c r="G5" s="24">
        <v>11537</v>
      </c>
      <c r="H5" s="207" t="s">
        <v>2</v>
      </c>
      <c r="I5" s="210" t="s">
        <v>125</v>
      </c>
      <c r="J5" s="208">
        <v>10.0258717454</v>
      </c>
      <c r="K5" s="204"/>
    </row>
    <row r="6" spans="1:11" x14ac:dyDescent="0.3">
      <c r="A6" s="202">
        <v>11532</v>
      </c>
      <c r="B6" s="199" t="s">
        <v>2</v>
      </c>
      <c r="C6" s="27">
        <v>32417</v>
      </c>
      <c r="D6" s="202" t="s">
        <v>106</v>
      </c>
      <c r="E6" s="200">
        <v>2.8307711215800002</v>
      </c>
      <c r="F6" s="151"/>
      <c r="G6" s="24">
        <v>11537</v>
      </c>
      <c r="H6" s="207" t="s">
        <v>2</v>
      </c>
      <c r="I6" s="210" t="s">
        <v>126</v>
      </c>
      <c r="J6" s="208">
        <v>12.1075112904</v>
      </c>
      <c r="K6" s="204"/>
    </row>
    <row r="7" spans="1:11" s="150" customFormat="1" x14ac:dyDescent="0.3">
      <c r="A7" s="202"/>
      <c r="B7" s="199"/>
      <c r="C7" s="27"/>
      <c r="D7" s="202"/>
      <c r="E7" s="201">
        <f>SUM(E4:E6)</f>
        <v>5.522217548095</v>
      </c>
      <c r="F7" s="151"/>
      <c r="G7" s="207"/>
      <c r="H7" s="207"/>
      <c r="I7" s="206"/>
      <c r="J7" s="209">
        <f>SUM(J5:J6)</f>
        <v>22.133383035800001</v>
      </c>
      <c r="K7" s="204"/>
    </row>
    <row r="8" spans="1:11" x14ac:dyDescent="0.3">
      <c r="A8" s="202">
        <v>11534</v>
      </c>
      <c r="B8" s="199" t="s">
        <v>2</v>
      </c>
      <c r="C8" s="27">
        <v>42255</v>
      </c>
      <c r="D8" s="202" t="s">
        <v>107</v>
      </c>
      <c r="E8" s="201">
        <v>1.09057700347</v>
      </c>
      <c r="F8" s="151"/>
      <c r="G8" s="24">
        <v>12192</v>
      </c>
      <c r="H8" s="207" t="s">
        <v>2</v>
      </c>
      <c r="I8" s="210" t="s">
        <v>41</v>
      </c>
      <c r="J8" s="209">
        <v>9.5513258606400004</v>
      </c>
      <c r="K8" s="204"/>
    </row>
    <row r="9" spans="1:11" x14ac:dyDescent="0.3">
      <c r="A9" s="202">
        <v>11537</v>
      </c>
      <c r="B9" s="199" t="s">
        <v>2</v>
      </c>
      <c r="C9" s="27">
        <v>35400</v>
      </c>
      <c r="D9" s="202" t="s">
        <v>108</v>
      </c>
      <c r="E9" s="201">
        <v>0.653787117227</v>
      </c>
      <c r="F9" s="151"/>
      <c r="G9" s="24">
        <v>12193</v>
      </c>
      <c r="H9" s="207" t="s">
        <v>2</v>
      </c>
      <c r="I9" s="210" t="s">
        <v>42</v>
      </c>
      <c r="J9" s="209">
        <v>9.4745197246699995</v>
      </c>
      <c r="K9" s="204"/>
    </row>
    <row r="10" spans="1:11" x14ac:dyDescent="0.3">
      <c r="A10" s="202">
        <v>11696</v>
      </c>
      <c r="B10" s="199" t="s">
        <v>2</v>
      </c>
      <c r="C10" s="27">
        <v>35400</v>
      </c>
      <c r="D10" s="202" t="s">
        <v>109</v>
      </c>
      <c r="E10" s="201">
        <v>2.1712623598</v>
      </c>
      <c r="F10" s="151"/>
      <c r="G10" s="24">
        <v>12201</v>
      </c>
      <c r="H10" s="207" t="s">
        <v>2</v>
      </c>
      <c r="I10" s="210" t="s">
        <v>127</v>
      </c>
      <c r="J10" s="209">
        <v>4.8611176372699996</v>
      </c>
    </row>
    <row r="11" spans="1:11" x14ac:dyDescent="0.3">
      <c r="A11" s="202">
        <v>12190</v>
      </c>
      <c r="B11" s="199" t="s">
        <v>2</v>
      </c>
      <c r="C11" s="27">
        <v>36161</v>
      </c>
      <c r="D11" s="202" t="s">
        <v>110</v>
      </c>
      <c r="E11" s="200">
        <v>13.4071645843</v>
      </c>
      <c r="F11" s="151"/>
      <c r="G11" s="176"/>
      <c r="H11" s="211"/>
      <c r="I11" s="143"/>
      <c r="J11" s="193">
        <f>SUM(J4:J10)</f>
        <v>76.65473435058999</v>
      </c>
    </row>
    <row r="12" spans="1:11" x14ac:dyDescent="0.3">
      <c r="A12" s="202">
        <v>12190</v>
      </c>
      <c r="B12" s="199" t="s">
        <v>2</v>
      </c>
      <c r="C12" s="27">
        <v>42705</v>
      </c>
      <c r="D12" s="202" t="s">
        <v>111</v>
      </c>
      <c r="E12" s="200">
        <v>5.0498369072999996</v>
      </c>
      <c r="F12" s="151"/>
      <c r="G12" s="24">
        <v>9250</v>
      </c>
      <c r="H12" s="220" t="s">
        <v>40</v>
      </c>
      <c r="I12" s="24" t="s">
        <v>122</v>
      </c>
      <c r="J12" s="221">
        <v>1.4912189144400001</v>
      </c>
      <c r="K12" s="217"/>
    </row>
    <row r="13" spans="1:11" s="150" customFormat="1" x14ac:dyDescent="0.3">
      <c r="A13" s="202"/>
      <c r="B13" s="199"/>
      <c r="C13" s="27"/>
      <c r="D13" s="202"/>
      <c r="E13" s="201">
        <f>SUM(E11:E12)</f>
        <v>18.4570014916</v>
      </c>
      <c r="F13" s="151"/>
      <c r="G13" s="24">
        <v>9255</v>
      </c>
      <c r="H13" s="220" t="s">
        <v>40</v>
      </c>
      <c r="I13" s="24" t="s">
        <v>122</v>
      </c>
      <c r="J13" s="221">
        <v>76.012654897999994</v>
      </c>
      <c r="K13" s="217"/>
    </row>
    <row r="14" spans="1:11" x14ac:dyDescent="0.3">
      <c r="A14" s="202">
        <v>12191</v>
      </c>
      <c r="B14" s="199" t="s">
        <v>2</v>
      </c>
      <c r="C14" s="27">
        <v>42644</v>
      </c>
      <c r="D14" s="202" t="s">
        <v>66</v>
      </c>
      <c r="E14" s="200">
        <v>17.641962726900001</v>
      </c>
      <c r="F14" s="151"/>
      <c r="G14" s="24">
        <v>10414</v>
      </c>
      <c r="H14" s="220" t="s">
        <v>40</v>
      </c>
      <c r="I14" s="24" t="s">
        <v>122</v>
      </c>
      <c r="J14" s="221">
        <v>7.7582854831699999</v>
      </c>
      <c r="K14" s="217"/>
    </row>
    <row r="15" spans="1:11" x14ac:dyDescent="0.3">
      <c r="A15" s="202">
        <v>12197</v>
      </c>
      <c r="B15" s="199" t="s">
        <v>2</v>
      </c>
      <c r="C15" s="27">
        <v>36605</v>
      </c>
      <c r="D15" s="202" t="s">
        <v>112</v>
      </c>
      <c r="E15" s="200">
        <v>1.3633976505600001</v>
      </c>
      <c r="F15" s="151"/>
      <c r="G15" s="24">
        <v>10415</v>
      </c>
      <c r="H15" s="220" t="s">
        <v>40</v>
      </c>
      <c r="I15" s="24" t="s">
        <v>122</v>
      </c>
      <c r="J15" s="221">
        <v>8.5671085119099999</v>
      </c>
      <c r="K15" s="217"/>
    </row>
    <row r="16" spans="1:11" x14ac:dyDescent="0.3">
      <c r="A16" s="202">
        <v>12197</v>
      </c>
      <c r="B16" s="199" t="s">
        <v>2</v>
      </c>
      <c r="C16" s="27">
        <v>36953</v>
      </c>
      <c r="D16" s="202" t="s">
        <v>113</v>
      </c>
      <c r="E16" s="200">
        <v>5.8733237437000003</v>
      </c>
      <c r="F16" s="151"/>
      <c r="G16" s="24">
        <v>10416</v>
      </c>
      <c r="H16" s="220" t="s">
        <v>40</v>
      </c>
      <c r="I16" s="24" t="s">
        <v>122</v>
      </c>
      <c r="J16" s="221">
        <v>33.528218424899997</v>
      </c>
      <c r="K16" s="217"/>
    </row>
    <row r="17" spans="1:11" s="150" customFormat="1" x14ac:dyDescent="0.3">
      <c r="A17" s="202"/>
      <c r="B17" s="199"/>
      <c r="C17" s="27"/>
      <c r="D17" s="202"/>
      <c r="E17" s="201">
        <f>SUM(E15:E16)</f>
        <v>7.2367213942599999</v>
      </c>
      <c r="F17" s="151"/>
      <c r="G17" s="24">
        <v>11157</v>
      </c>
      <c r="H17" s="220" t="s">
        <v>40</v>
      </c>
      <c r="I17" s="24" t="s">
        <v>124</v>
      </c>
      <c r="J17" s="221">
        <v>2.6663905944400002</v>
      </c>
      <c r="K17" s="217"/>
    </row>
    <row r="18" spans="1:11" x14ac:dyDescent="0.3">
      <c r="A18" s="202">
        <v>12201</v>
      </c>
      <c r="B18" s="199" t="s">
        <v>2</v>
      </c>
      <c r="C18" s="27">
        <v>31959</v>
      </c>
      <c r="D18" s="202" t="s">
        <v>114</v>
      </c>
      <c r="E18" s="200">
        <v>2.4105856338899998</v>
      </c>
      <c r="F18" s="151"/>
      <c r="G18" s="163"/>
      <c r="H18" s="179"/>
      <c r="I18" s="163"/>
      <c r="J18" s="169">
        <f>SUM(J12:J17)</f>
        <v>130.02387682685998</v>
      </c>
      <c r="K18" s="219"/>
    </row>
    <row r="19" spans="1:11" x14ac:dyDescent="0.3">
      <c r="A19" s="202">
        <v>12201</v>
      </c>
      <c r="B19" s="199" t="s">
        <v>2</v>
      </c>
      <c r="C19" s="27">
        <v>31959</v>
      </c>
      <c r="D19" s="202" t="s">
        <v>115</v>
      </c>
      <c r="E19" s="200">
        <v>2.04892316319</v>
      </c>
      <c r="F19" s="151"/>
      <c r="G19" s="218"/>
      <c r="H19" s="19"/>
      <c r="I19" s="218"/>
      <c r="J19" s="219"/>
      <c r="K19" s="219"/>
    </row>
    <row r="20" spans="1:11" x14ac:dyDescent="0.3">
      <c r="A20" s="202">
        <v>12201</v>
      </c>
      <c r="B20" s="199" t="s">
        <v>2</v>
      </c>
      <c r="C20" s="27">
        <v>25569</v>
      </c>
      <c r="D20" s="202" t="s">
        <v>32</v>
      </c>
      <c r="E20" s="200">
        <v>12.4201652264</v>
      </c>
      <c r="F20" s="151"/>
      <c r="G20" s="146"/>
      <c r="I20" s="148"/>
      <c r="J20" s="109"/>
    </row>
    <row r="21" spans="1:11" x14ac:dyDescent="0.3">
      <c r="A21" s="202">
        <v>12201</v>
      </c>
      <c r="B21" s="199" t="s">
        <v>2</v>
      </c>
      <c r="C21" s="27">
        <v>42613</v>
      </c>
      <c r="D21" s="202" t="s">
        <v>116</v>
      </c>
      <c r="E21" s="200">
        <v>1.50155583214</v>
      </c>
      <c r="F21" s="151"/>
      <c r="G21" s="146"/>
      <c r="I21" s="148"/>
      <c r="J21" s="109"/>
    </row>
    <row r="22" spans="1:11" x14ac:dyDescent="0.3">
      <c r="A22" s="202">
        <v>12201</v>
      </c>
      <c r="B22" s="199" t="s">
        <v>2</v>
      </c>
      <c r="C22" s="27">
        <v>37895</v>
      </c>
      <c r="D22" s="202" t="s">
        <v>117</v>
      </c>
      <c r="E22" s="200">
        <v>0.96379266051099999</v>
      </c>
      <c r="F22" s="151"/>
      <c r="J22" s="161"/>
    </row>
    <row r="23" spans="1:11" x14ac:dyDescent="0.3">
      <c r="A23" s="202">
        <v>12201</v>
      </c>
      <c r="B23" s="199" t="s">
        <v>2</v>
      </c>
      <c r="C23" s="27">
        <v>37895</v>
      </c>
      <c r="D23" s="202" t="s">
        <v>118</v>
      </c>
      <c r="E23" s="200">
        <v>0.32284513215400001</v>
      </c>
      <c r="F23" s="151"/>
    </row>
    <row r="24" spans="1:11" s="150" customFormat="1" x14ac:dyDescent="0.3">
      <c r="A24" s="202"/>
      <c r="B24" s="199"/>
      <c r="C24" s="27"/>
      <c r="D24" s="202"/>
      <c r="E24" s="201">
        <f>SUM(E18:E23)</f>
        <v>19.667867648285</v>
      </c>
      <c r="F24" s="151"/>
      <c r="G24" s="205"/>
      <c r="H24" s="205"/>
    </row>
    <row r="25" spans="1:11" x14ac:dyDescent="0.3">
      <c r="A25" s="202">
        <v>12208</v>
      </c>
      <c r="B25" s="199" t="s">
        <v>2</v>
      </c>
      <c r="C25" s="27">
        <v>36373</v>
      </c>
      <c r="D25" s="202" t="s">
        <v>119</v>
      </c>
      <c r="E25" s="201">
        <v>7.8500429410699999</v>
      </c>
      <c r="F25" s="151"/>
    </row>
    <row r="26" spans="1:11" x14ac:dyDescent="0.3">
      <c r="A26" s="202">
        <v>21793</v>
      </c>
      <c r="B26" s="199" t="s">
        <v>2</v>
      </c>
      <c r="C26" s="27">
        <v>32509</v>
      </c>
      <c r="D26" s="202" t="s">
        <v>120</v>
      </c>
      <c r="E26" s="201">
        <v>14.8351919845</v>
      </c>
      <c r="F26" s="151"/>
    </row>
    <row r="27" spans="1:11" x14ac:dyDescent="0.3">
      <c r="A27" s="143"/>
      <c r="B27" s="180"/>
      <c r="C27" s="143"/>
      <c r="D27" s="173"/>
      <c r="E27" s="153">
        <v>95.126632215206996</v>
      </c>
    </row>
    <row r="28" spans="1:11" x14ac:dyDescent="0.3">
      <c r="A28" s="42">
        <v>9248</v>
      </c>
      <c r="B28" s="25" t="s">
        <v>40</v>
      </c>
      <c r="C28" s="27">
        <v>36008</v>
      </c>
      <c r="D28" s="42" t="s">
        <v>86</v>
      </c>
      <c r="E28" s="30">
        <v>0.59669088357</v>
      </c>
    </row>
    <row r="29" spans="1:11" x14ac:dyDescent="0.3">
      <c r="A29" s="42">
        <v>9249</v>
      </c>
      <c r="B29" s="25" t="s">
        <v>40</v>
      </c>
      <c r="C29" s="27">
        <v>42422</v>
      </c>
      <c r="D29" s="42" t="s">
        <v>87</v>
      </c>
      <c r="E29" s="30">
        <v>3.2984003390500001</v>
      </c>
    </row>
    <row r="30" spans="1:11" x14ac:dyDescent="0.3">
      <c r="A30" s="42">
        <v>9250</v>
      </c>
      <c r="B30" s="25" t="s">
        <v>40</v>
      </c>
      <c r="C30" s="27">
        <v>35947</v>
      </c>
      <c r="D30" s="42" t="s">
        <v>88</v>
      </c>
      <c r="E30" s="26">
        <v>25.713163900400001</v>
      </c>
    </row>
    <row r="31" spans="1:11" x14ac:dyDescent="0.3">
      <c r="A31" s="42">
        <v>9250</v>
      </c>
      <c r="B31" s="25" t="s">
        <v>40</v>
      </c>
      <c r="C31" s="27">
        <v>35947</v>
      </c>
      <c r="D31" s="42" t="s">
        <v>89</v>
      </c>
      <c r="E31" s="26">
        <v>0.47688966086700002</v>
      </c>
    </row>
    <row r="32" spans="1:11" s="195" customFormat="1" x14ac:dyDescent="0.3">
      <c r="A32" s="42"/>
      <c r="B32" s="25"/>
      <c r="C32" s="27"/>
      <c r="D32" s="42"/>
      <c r="E32" s="30">
        <f>SUM(E30:E31)</f>
        <v>26.190053561267</v>
      </c>
      <c r="G32" s="205"/>
      <c r="H32" s="205"/>
    </row>
    <row r="33" spans="1:8" x14ac:dyDescent="0.3">
      <c r="A33" s="42">
        <v>9252</v>
      </c>
      <c r="B33" s="25" t="s">
        <v>40</v>
      </c>
      <c r="C33" s="27">
        <v>27181</v>
      </c>
      <c r="D33" s="42" t="s">
        <v>123</v>
      </c>
      <c r="E33" s="47">
        <v>2.4129908484799998</v>
      </c>
    </row>
    <row r="34" spans="1:8" x14ac:dyDescent="0.3">
      <c r="A34" s="42">
        <v>9256</v>
      </c>
      <c r="B34" s="25" t="s">
        <v>40</v>
      </c>
      <c r="C34" s="27">
        <v>39216</v>
      </c>
      <c r="D34" s="42" t="s">
        <v>90</v>
      </c>
      <c r="E34" s="26">
        <v>3.9318823344</v>
      </c>
    </row>
    <row r="35" spans="1:8" x14ac:dyDescent="0.3">
      <c r="A35" s="42">
        <v>9256</v>
      </c>
      <c r="B35" s="25" t="s">
        <v>40</v>
      </c>
      <c r="C35" s="27">
        <v>39216</v>
      </c>
      <c r="D35" s="42" t="s">
        <v>91</v>
      </c>
      <c r="E35" s="26">
        <v>0.67145550982299995</v>
      </c>
    </row>
    <row r="36" spans="1:8" s="195" customFormat="1" x14ac:dyDescent="0.3">
      <c r="A36" s="42"/>
      <c r="B36" s="25"/>
      <c r="C36" s="27"/>
      <c r="D36" s="42"/>
      <c r="E36" s="30">
        <f>SUM(E34:E35)</f>
        <v>4.6033378442229997</v>
      </c>
      <c r="G36" s="205"/>
      <c r="H36" s="205"/>
    </row>
    <row r="37" spans="1:8" x14ac:dyDescent="0.3">
      <c r="A37" s="42">
        <v>9260</v>
      </c>
      <c r="B37" s="25" t="s">
        <v>40</v>
      </c>
      <c r="C37" s="27">
        <v>31778</v>
      </c>
      <c r="D37" s="42" t="s">
        <v>92</v>
      </c>
      <c r="E37" s="26">
        <v>4.2777737184299998</v>
      </c>
    </row>
    <row r="38" spans="1:8" x14ac:dyDescent="0.3">
      <c r="A38" s="42">
        <v>9260</v>
      </c>
      <c r="B38" s="25" t="s">
        <v>40</v>
      </c>
      <c r="C38" s="27">
        <v>39091</v>
      </c>
      <c r="D38" s="42" t="s">
        <v>93</v>
      </c>
      <c r="E38" s="26">
        <v>0.423312444545</v>
      </c>
    </row>
    <row r="39" spans="1:8" s="195" customFormat="1" x14ac:dyDescent="0.3">
      <c r="A39" s="42"/>
      <c r="B39" s="25"/>
      <c r="C39" s="27"/>
      <c r="D39" s="42"/>
      <c r="E39" s="30">
        <f>SUM(E37:E38)</f>
        <v>4.7010861629749998</v>
      </c>
      <c r="G39" s="205"/>
      <c r="H39" s="205"/>
    </row>
    <row r="40" spans="1:8" x14ac:dyDescent="0.3">
      <c r="A40" s="42">
        <v>9265</v>
      </c>
      <c r="B40" s="25" t="s">
        <v>40</v>
      </c>
      <c r="C40" s="27">
        <v>37257</v>
      </c>
      <c r="D40" s="42" t="s">
        <v>94</v>
      </c>
      <c r="E40" s="201">
        <v>2.8198078760700001</v>
      </c>
    </row>
    <row r="41" spans="1:8" x14ac:dyDescent="0.3">
      <c r="A41" s="42">
        <v>9266</v>
      </c>
      <c r="B41" s="25" t="s">
        <v>40</v>
      </c>
      <c r="C41" s="27">
        <v>38108</v>
      </c>
      <c r="D41" s="42" t="s">
        <v>95</v>
      </c>
      <c r="E41" s="201">
        <v>1.1600455536200001</v>
      </c>
    </row>
    <row r="42" spans="1:8" x14ac:dyDescent="0.3">
      <c r="A42" s="42">
        <v>10415</v>
      </c>
      <c r="B42" s="25" t="s">
        <v>40</v>
      </c>
      <c r="C42" s="27">
        <v>36617</v>
      </c>
      <c r="D42" s="42" t="s">
        <v>96</v>
      </c>
      <c r="E42" s="201">
        <v>3.6836950530200001</v>
      </c>
    </row>
    <row r="43" spans="1:8" x14ac:dyDescent="0.3">
      <c r="A43" s="42">
        <v>10416</v>
      </c>
      <c r="B43" s="25" t="s">
        <v>40</v>
      </c>
      <c r="C43" s="27">
        <v>35947</v>
      </c>
      <c r="D43" s="42" t="s">
        <v>88</v>
      </c>
      <c r="E43" s="26">
        <v>4.9036117149700003</v>
      </c>
    </row>
    <row r="44" spans="1:8" x14ac:dyDescent="0.3">
      <c r="A44" s="42">
        <v>10416</v>
      </c>
      <c r="B44" s="25" t="s">
        <v>40</v>
      </c>
      <c r="C44" s="27">
        <v>35947</v>
      </c>
      <c r="D44" s="42" t="s">
        <v>97</v>
      </c>
      <c r="E44" s="26">
        <v>1.9371633799900001</v>
      </c>
    </row>
    <row r="45" spans="1:8" s="195" customFormat="1" x14ac:dyDescent="0.3">
      <c r="A45" s="42"/>
      <c r="B45" s="25"/>
      <c r="C45" s="27"/>
      <c r="D45" s="42"/>
      <c r="E45" s="30">
        <f>SUM(E43:E44)</f>
        <v>6.8407750949600006</v>
      </c>
      <c r="G45" s="205"/>
      <c r="H45" s="205"/>
    </row>
    <row r="46" spans="1:8" x14ac:dyDescent="0.3">
      <c r="A46" s="42">
        <v>10419</v>
      </c>
      <c r="B46" s="25" t="s">
        <v>40</v>
      </c>
      <c r="C46" s="27">
        <v>42863</v>
      </c>
      <c r="D46" s="42" t="s">
        <v>98</v>
      </c>
      <c r="E46" s="30">
        <v>0.58905762445099996</v>
      </c>
    </row>
    <row r="47" spans="1:8" x14ac:dyDescent="0.3">
      <c r="A47" s="42">
        <v>10422</v>
      </c>
      <c r="B47" s="25" t="s">
        <v>40</v>
      </c>
      <c r="C47" s="27">
        <v>31990</v>
      </c>
      <c r="D47" s="42" t="s">
        <v>99</v>
      </c>
      <c r="E47" s="30">
        <v>8.0989568512699996</v>
      </c>
    </row>
    <row r="48" spans="1:8" x14ac:dyDescent="0.3">
      <c r="A48" s="42">
        <v>11006</v>
      </c>
      <c r="B48" s="25" t="s">
        <v>40</v>
      </c>
      <c r="C48" s="27">
        <v>30103</v>
      </c>
      <c r="D48" s="42" t="s">
        <v>100</v>
      </c>
      <c r="E48" s="30">
        <v>0.95115204475799997</v>
      </c>
    </row>
    <row r="49" spans="1:8" x14ac:dyDescent="0.3">
      <c r="A49" s="42">
        <v>11155</v>
      </c>
      <c r="B49" s="25" t="s">
        <v>40</v>
      </c>
      <c r="C49" s="27">
        <v>37408</v>
      </c>
      <c r="D49" s="42" t="s">
        <v>101</v>
      </c>
      <c r="E49" s="30">
        <v>7.6021951733600002</v>
      </c>
    </row>
    <row r="50" spans="1:8" x14ac:dyDescent="0.3">
      <c r="A50" s="42">
        <v>11163</v>
      </c>
      <c r="B50" s="25" t="s">
        <v>40</v>
      </c>
      <c r="C50" s="27">
        <v>33055</v>
      </c>
      <c r="D50" s="42" t="s">
        <v>102</v>
      </c>
      <c r="E50" s="26">
        <v>8.6611736016300007</v>
      </c>
    </row>
    <row r="51" spans="1:8" x14ac:dyDescent="0.3">
      <c r="A51" s="42">
        <v>11163</v>
      </c>
      <c r="B51" s="25" t="s">
        <v>40</v>
      </c>
      <c r="C51" s="27">
        <v>42549</v>
      </c>
      <c r="D51" s="42" t="s">
        <v>103</v>
      </c>
      <c r="E51" s="26">
        <v>4.8728071343200003</v>
      </c>
    </row>
    <row r="52" spans="1:8" s="195" customFormat="1" x14ac:dyDescent="0.3">
      <c r="A52" s="42"/>
      <c r="B52" s="25"/>
      <c r="C52" s="27"/>
      <c r="D52" s="42"/>
      <c r="E52" s="30">
        <f>SUM(E50:E51)</f>
        <v>13.533980735950001</v>
      </c>
      <c r="G52" s="205"/>
      <c r="H52" s="205"/>
    </row>
    <row r="53" spans="1:8" s="195" customFormat="1" x14ac:dyDescent="0.3">
      <c r="A53" s="202">
        <v>21793</v>
      </c>
      <c r="B53" s="199" t="s">
        <v>40</v>
      </c>
      <c r="C53" s="27">
        <v>32509</v>
      </c>
      <c r="D53" s="202" t="s">
        <v>120</v>
      </c>
      <c r="E53" s="200">
        <v>14.8351919845</v>
      </c>
      <c r="G53" s="205"/>
      <c r="H53" s="205"/>
    </row>
    <row r="54" spans="1:8" s="195" customFormat="1" x14ac:dyDescent="0.3">
      <c r="A54" s="202">
        <v>21793</v>
      </c>
      <c r="B54" s="199" t="s">
        <v>40</v>
      </c>
      <c r="C54" s="27">
        <v>32325</v>
      </c>
      <c r="D54" s="202" t="s">
        <v>121</v>
      </c>
      <c r="E54" s="200">
        <v>2.09891155531</v>
      </c>
      <c r="G54" s="205"/>
      <c r="H54" s="205"/>
    </row>
    <row r="55" spans="1:8" x14ac:dyDescent="0.3">
      <c r="A55" s="198"/>
      <c r="B55" s="31"/>
      <c r="C55" s="198"/>
      <c r="D55" s="181"/>
      <c r="E55" s="142">
        <f>SUM(E53:E54)</f>
        <v>16.93410353981</v>
      </c>
    </row>
    <row r="56" spans="1:8" x14ac:dyDescent="0.3">
      <c r="A56" s="182"/>
      <c r="B56" s="180"/>
      <c r="C56" s="182"/>
      <c r="D56" s="139"/>
      <c r="E56" s="153">
        <f>E28+E29+E32+E33+E36+E39+E40+E41+E42+E45+E46+E47+E48+E49+E52+E55</f>
        <v>104.016329186834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MK277"/>
  <sheetViews>
    <sheetView topLeftCell="A22" workbookViewId="0">
      <selection activeCell="A40" sqref="A28:XFD40"/>
    </sheetView>
  </sheetViews>
  <sheetFormatPr defaultRowHeight="14.4" x14ac:dyDescent="0.3"/>
  <cols>
    <col min="1" max="1" width="8.88671875" style="195"/>
    <col min="2" max="3" width="9.109375" style="195" customWidth="1"/>
    <col min="4" max="4" width="8.88671875" style="195"/>
    <col min="5" max="5" width="18.109375" style="92" customWidth="1"/>
    <col min="6" max="6" width="9.109375" style="92" customWidth="1"/>
    <col min="7" max="7" width="19" style="92" customWidth="1"/>
    <col min="8" max="8" width="9.109375" style="92" customWidth="1"/>
    <col min="9" max="9" width="14.44140625" style="92" customWidth="1"/>
    <col min="10" max="10" width="8.88671875" style="126" customWidth="1"/>
    <col min="11" max="11" width="9.109375" style="213" customWidth="1"/>
    <col min="12" max="12" width="9.109375" style="133" customWidth="1"/>
    <col min="13" max="13" width="15.109375" style="205" customWidth="1"/>
    <col min="14" max="14" width="9.109375" style="205" customWidth="1"/>
    <col min="15" max="15" width="9.109375" style="187" customWidth="1"/>
    <col min="16" max="16" width="9.109375" style="18" customWidth="1"/>
    <col min="17" max="17" width="12.109375" style="195" customWidth="1"/>
    <col min="18" max="18" width="9.109375" style="195" customWidth="1"/>
    <col min="19" max="21" width="9.109375" style="11" customWidth="1"/>
    <col min="22" max="23" width="9.109375" style="195" customWidth="1"/>
    <col min="24" max="16384" width="8.88671875" style="195"/>
  </cols>
  <sheetData>
    <row r="1" spans="1:24" ht="40.799999999999997" x14ac:dyDescent="0.3">
      <c r="A1" s="383" t="s">
        <v>129</v>
      </c>
      <c r="B1" s="383"/>
      <c r="C1" s="383"/>
      <c r="D1" s="383"/>
      <c r="E1" s="384" t="s">
        <v>53</v>
      </c>
      <c r="F1" s="384"/>
      <c r="G1" s="384"/>
      <c r="H1" s="384"/>
      <c r="I1" s="99"/>
      <c r="J1" s="115"/>
      <c r="K1" s="159" t="s">
        <v>70</v>
      </c>
      <c r="L1" s="61" t="s">
        <v>69</v>
      </c>
      <c r="M1" s="385" t="s">
        <v>54</v>
      </c>
      <c r="N1" s="385"/>
      <c r="O1" s="190" t="s">
        <v>55</v>
      </c>
      <c r="P1" s="386" t="s">
        <v>56</v>
      </c>
      <c r="Q1" s="386"/>
      <c r="R1" s="387" t="s">
        <v>57</v>
      </c>
      <c r="S1" s="388" t="s">
        <v>19</v>
      </c>
      <c r="T1" s="389"/>
      <c r="U1" s="390"/>
      <c r="V1" s="101" t="s">
        <v>20</v>
      </c>
      <c r="W1" s="282"/>
      <c r="X1" s="70" t="s">
        <v>131</v>
      </c>
    </row>
    <row r="2" spans="1:24" ht="28.8" x14ac:dyDescent="0.3">
      <c r="A2" s="5" t="s">
        <v>7</v>
      </c>
      <c r="B2" s="2" t="s">
        <v>0</v>
      </c>
      <c r="C2" s="2" t="s">
        <v>1</v>
      </c>
      <c r="D2" s="3" t="s">
        <v>8</v>
      </c>
      <c r="E2" s="81" t="s">
        <v>135</v>
      </c>
      <c r="F2" s="82" t="s">
        <v>12</v>
      </c>
      <c r="G2" s="81" t="s">
        <v>14</v>
      </c>
      <c r="H2" s="82" t="s">
        <v>33</v>
      </c>
      <c r="I2" s="81" t="s">
        <v>29</v>
      </c>
      <c r="J2" s="116" t="s">
        <v>34</v>
      </c>
      <c r="K2" s="149" t="s">
        <v>68</v>
      </c>
      <c r="L2" s="60" t="s">
        <v>71</v>
      </c>
      <c r="M2" s="127" t="s">
        <v>9</v>
      </c>
      <c r="N2" s="77" t="s">
        <v>15</v>
      </c>
      <c r="O2" s="185" t="s">
        <v>16</v>
      </c>
      <c r="P2" s="34" t="s">
        <v>17</v>
      </c>
      <c r="Q2" s="98" t="s">
        <v>18</v>
      </c>
      <c r="R2" s="387"/>
      <c r="S2" s="107" t="s">
        <v>21</v>
      </c>
      <c r="T2" s="107" t="s">
        <v>22</v>
      </c>
      <c r="U2" s="107" t="s">
        <v>23</v>
      </c>
      <c r="V2" s="105" t="s">
        <v>24</v>
      </c>
      <c r="W2" s="58" t="s">
        <v>25</v>
      </c>
      <c r="X2" s="267"/>
    </row>
    <row r="3" spans="1:24" ht="15" customHeight="1" x14ac:dyDescent="0.3">
      <c r="A3" s="1">
        <v>10078</v>
      </c>
      <c r="B3" s="1" t="s">
        <v>2</v>
      </c>
      <c r="C3" s="1" t="s">
        <v>3</v>
      </c>
      <c r="D3" s="4">
        <v>37.953629999999997</v>
      </c>
      <c r="E3" s="89" t="s">
        <v>65</v>
      </c>
      <c r="F3" s="84">
        <v>37.953628000000002</v>
      </c>
      <c r="G3" s="83"/>
      <c r="H3" s="84"/>
      <c r="I3" s="84"/>
      <c r="J3" s="119"/>
      <c r="K3" s="177">
        <v>0</v>
      </c>
      <c r="L3" s="62">
        <v>0</v>
      </c>
      <c r="M3" s="129"/>
      <c r="N3" s="76"/>
      <c r="O3" s="144"/>
      <c r="P3" s="166">
        <f t="shared" ref="P3:P23" si="0">D3-Q3</f>
        <v>37.953629999999997</v>
      </c>
      <c r="Q3" s="16">
        <v>0</v>
      </c>
      <c r="R3" s="8">
        <v>0</v>
      </c>
      <c r="S3" s="13">
        <v>0</v>
      </c>
      <c r="T3" s="13">
        <v>23.925619999999999</v>
      </c>
      <c r="U3" s="13">
        <v>10.7065</v>
      </c>
      <c r="V3" s="56">
        <v>0</v>
      </c>
      <c r="W3" s="215">
        <f t="shared" ref="W3:W23" si="1">D3-(S3+T3+U3+V3)</f>
        <v>3.3215099999999964</v>
      </c>
    </row>
    <row r="4" spans="1:24" ht="15" customHeight="1" x14ac:dyDescent="0.3">
      <c r="A4" s="1">
        <v>10091</v>
      </c>
      <c r="B4" s="1" t="s">
        <v>2</v>
      </c>
      <c r="C4" s="1" t="s">
        <v>3</v>
      </c>
      <c r="D4" s="4">
        <v>13.760109999999999</v>
      </c>
      <c r="E4" s="89" t="s">
        <v>64</v>
      </c>
      <c r="F4" s="84">
        <v>13.760111999999999</v>
      </c>
      <c r="G4" s="85"/>
      <c r="H4" s="86"/>
      <c r="I4" s="87"/>
      <c r="J4" s="123"/>
      <c r="K4" s="177">
        <v>12.966746000000001</v>
      </c>
      <c r="L4" s="62">
        <v>0</v>
      </c>
      <c r="M4" s="129"/>
      <c r="N4" s="76"/>
      <c r="O4" s="194"/>
      <c r="P4" s="166">
        <f t="shared" si="0"/>
        <v>13.760109999999999</v>
      </c>
      <c r="Q4" s="16">
        <v>0</v>
      </c>
      <c r="R4" s="8">
        <v>0</v>
      </c>
      <c r="S4" s="13">
        <v>2.5828E-2</v>
      </c>
      <c r="T4" s="13">
        <v>0</v>
      </c>
      <c r="U4" s="13">
        <v>0</v>
      </c>
      <c r="V4" s="56">
        <v>0</v>
      </c>
      <c r="W4" s="215">
        <f t="shared" si="1"/>
        <v>13.734281999999999</v>
      </c>
    </row>
    <row r="5" spans="1:24" ht="15" customHeight="1" x14ac:dyDescent="0.3">
      <c r="A5" s="1">
        <v>10099</v>
      </c>
      <c r="B5" s="1" t="s">
        <v>2</v>
      </c>
      <c r="C5" s="1" t="s">
        <v>3</v>
      </c>
      <c r="D5" s="4">
        <v>37.620489999999997</v>
      </c>
      <c r="E5" s="85"/>
      <c r="F5" s="86"/>
      <c r="G5" s="85"/>
      <c r="H5" s="86"/>
      <c r="I5" s="84"/>
      <c r="J5" s="119"/>
      <c r="K5" s="177">
        <v>0</v>
      </c>
      <c r="L5" s="62">
        <v>0</v>
      </c>
      <c r="M5" s="129" t="s">
        <v>38</v>
      </c>
      <c r="N5" s="74">
        <v>37.620489999999997</v>
      </c>
      <c r="O5" s="144"/>
      <c r="P5" s="166">
        <f t="shared" si="0"/>
        <v>0</v>
      </c>
      <c r="Q5" s="16">
        <v>37.620489999999997</v>
      </c>
      <c r="R5" s="252">
        <v>6.6196429999999999</v>
      </c>
      <c r="S5" s="13">
        <v>17.686561000000001</v>
      </c>
      <c r="T5" s="13">
        <v>0</v>
      </c>
      <c r="U5" s="13">
        <v>13.31419</v>
      </c>
      <c r="V5" s="56">
        <v>0</v>
      </c>
      <c r="W5" s="215">
        <f t="shared" si="1"/>
        <v>6.6197389999999956</v>
      </c>
    </row>
    <row r="6" spans="1:24" ht="15" customHeight="1" x14ac:dyDescent="0.3">
      <c r="A6" s="1">
        <v>10106</v>
      </c>
      <c r="B6" s="1" t="s">
        <v>2</v>
      </c>
      <c r="C6" s="1" t="s">
        <v>3</v>
      </c>
      <c r="D6" s="4">
        <v>41.158259999999999</v>
      </c>
      <c r="E6" s="89" t="s">
        <v>26</v>
      </c>
      <c r="F6" s="84">
        <v>40.795163000000002</v>
      </c>
      <c r="G6" s="88" t="s">
        <v>65</v>
      </c>
      <c r="H6" s="87">
        <v>0.36309200000000003</v>
      </c>
      <c r="I6" s="87"/>
      <c r="J6" s="123"/>
      <c r="K6" s="177">
        <v>0</v>
      </c>
      <c r="L6" s="62">
        <v>0</v>
      </c>
      <c r="M6" s="129"/>
      <c r="N6" s="76"/>
      <c r="O6" s="144"/>
      <c r="P6" s="166">
        <f t="shared" si="0"/>
        <v>0</v>
      </c>
      <c r="Q6" s="16">
        <v>41.158259999999999</v>
      </c>
      <c r="R6" s="8">
        <v>0</v>
      </c>
      <c r="S6" s="13">
        <v>35.435740000000003</v>
      </c>
      <c r="T6" s="13">
        <v>4.4130909999999997</v>
      </c>
      <c r="U6" s="13">
        <v>0</v>
      </c>
      <c r="V6" s="56">
        <v>0</v>
      </c>
      <c r="W6" s="215">
        <f t="shared" si="1"/>
        <v>1.3094289999999944</v>
      </c>
    </row>
    <row r="7" spans="1:24" ht="15" customHeight="1" x14ac:dyDescent="0.3">
      <c r="A7" s="1">
        <v>10107</v>
      </c>
      <c r="B7" s="1" t="s">
        <v>2</v>
      </c>
      <c r="C7" s="1" t="s">
        <v>3</v>
      </c>
      <c r="D7" s="4">
        <v>5.5097129999999996</v>
      </c>
      <c r="E7" s="89" t="s">
        <v>26</v>
      </c>
      <c r="F7" s="84">
        <v>5.5097129999999996</v>
      </c>
      <c r="G7" s="88"/>
      <c r="H7" s="87"/>
      <c r="I7" s="87"/>
      <c r="J7" s="123"/>
      <c r="K7" s="177">
        <v>2.5773470000000001</v>
      </c>
      <c r="L7" s="62">
        <v>0</v>
      </c>
      <c r="M7" s="129"/>
      <c r="N7" s="76"/>
      <c r="O7" s="194"/>
      <c r="P7" s="166">
        <f t="shared" si="0"/>
        <v>5.5097129999999996</v>
      </c>
      <c r="Q7" s="16">
        <v>0</v>
      </c>
      <c r="R7" s="8">
        <v>0</v>
      </c>
      <c r="S7" s="13">
        <v>5.5097129999999996</v>
      </c>
      <c r="T7" s="13">
        <v>0</v>
      </c>
      <c r="U7" s="13">
        <v>0</v>
      </c>
      <c r="V7" s="56">
        <v>0</v>
      </c>
      <c r="W7" s="215">
        <f t="shared" si="1"/>
        <v>0</v>
      </c>
    </row>
    <row r="8" spans="1:24" ht="15" customHeight="1" x14ac:dyDescent="0.3">
      <c r="A8" s="1">
        <v>10108</v>
      </c>
      <c r="B8" s="1" t="s">
        <v>2</v>
      </c>
      <c r="C8" s="1" t="s">
        <v>3</v>
      </c>
      <c r="D8" s="4">
        <v>7.6802049999999999</v>
      </c>
      <c r="E8" s="89" t="s">
        <v>26</v>
      </c>
      <c r="F8" s="84">
        <v>7.6802049999999999</v>
      </c>
      <c r="G8" s="88"/>
      <c r="H8" s="87"/>
      <c r="I8" s="87"/>
      <c r="J8" s="123"/>
      <c r="K8" s="177">
        <v>0</v>
      </c>
      <c r="L8" s="62">
        <v>0</v>
      </c>
      <c r="M8" s="129"/>
      <c r="N8" s="76"/>
      <c r="O8" s="194"/>
      <c r="P8" s="166">
        <f t="shared" si="0"/>
        <v>7.6802049999999999</v>
      </c>
      <c r="Q8" s="16">
        <v>0</v>
      </c>
      <c r="R8" s="8">
        <v>0</v>
      </c>
      <c r="S8" s="13">
        <v>7.6802049999999999</v>
      </c>
      <c r="T8" s="13">
        <v>0</v>
      </c>
      <c r="U8" s="13">
        <v>0</v>
      </c>
      <c r="V8" s="56">
        <v>0</v>
      </c>
      <c r="W8" s="215">
        <f t="shared" si="1"/>
        <v>0</v>
      </c>
    </row>
    <row r="9" spans="1:24" ht="15" customHeight="1" x14ac:dyDescent="0.3">
      <c r="A9" s="1">
        <v>10946</v>
      </c>
      <c r="B9" s="1" t="s">
        <v>2</v>
      </c>
      <c r="C9" s="1" t="s">
        <v>4</v>
      </c>
      <c r="D9" s="4">
        <v>51.501959999999997</v>
      </c>
      <c r="E9" s="89" t="s">
        <v>26</v>
      </c>
      <c r="F9" s="84">
        <v>51.501961000000001</v>
      </c>
      <c r="G9" s="88"/>
      <c r="H9" s="87"/>
      <c r="I9" s="87"/>
      <c r="J9" s="123"/>
      <c r="K9" s="177">
        <f>46.3309+1.419031+1.419031</f>
        <v>49.168961999999993</v>
      </c>
      <c r="L9" s="62">
        <v>0</v>
      </c>
      <c r="M9" s="129"/>
      <c r="N9" s="76"/>
      <c r="O9" s="144"/>
      <c r="P9" s="166">
        <f t="shared" si="0"/>
        <v>51.501959999999997</v>
      </c>
      <c r="Q9" s="16">
        <v>0</v>
      </c>
      <c r="R9" s="8">
        <v>0</v>
      </c>
      <c r="S9" s="13">
        <v>1.204602</v>
      </c>
      <c r="T9" s="13">
        <v>21.173670000000001</v>
      </c>
      <c r="U9" s="13">
        <v>26.837289999999999</v>
      </c>
      <c r="V9" s="56">
        <v>0</v>
      </c>
      <c r="W9" s="215">
        <f t="shared" si="1"/>
        <v>2.2863979999999913</v>
      </c>
    </row>
    <row r="10" spans="1:24" ht="15" customHeight="1" x14ac:dyDescent="0.3">
      <c r="A10" s="1">
        <v>10947</v>
      </c>
      <c r="B10" s="1" t="s">
        <v>2</v>
      </c>
      <c r="C10" s="1" t="s">
        <v>4</v>
      </c>
      <c r="D10" s="4">
        <v>52.982289999999999</v>
      </c>
      <c r="E10" s="89" t="s">
        <v>26</v>
      </c>
      <c r="F10" s="84">
        <v>52.982294000000003</v>
      </c>
      <c r="G10" s="88"/>
      <c r="H10" s="87"/>
      <c r="I10" s="87"/>
      <c r="J10" s="123"/>
      <c r="K10" s="177">
        <f>10.692732+18.275835</f>
        <v>28.968567</v>
      </c>
      <c r="L10" s="62">
        <v>12.966749999999999</v>
      </c>
      <c r="M10" s="129"/>
      <c r="N10" s="76"/>
      <c r="O10" s="144"/>
      <c r="P10" s="166">
        <f t="shared" si="0"/>
        <v>52.982289999999999</v>
      </c>
      <c r="Q10" s="16">
        <v>0</v>
      </c>
      <c r="R10" s="8">
        <f>7.535238+6.090555+0.014713</f>
        <v>13.640506</v>
      </c>
      <c r="S10" s="13">
        <v>2.8031169999999999</v>
      </c>
      <c r="T10" s="13">
        <v>9.6186109999999996</v>
      </c>
      <c r="U10" s="13">
        <v>28.78633</v>
      </c>
      <c r="V10" s="56">
        <v>0</v>
      </c>
      <c r="W10" s="215">
        <f t="shared" si="1"/>
        <v>11.774231999999998</v>
      </c>
    </row>
    <row r="11" spans="1:24" ht="15" customHeight="1" x14ac:dyDescent="0.3">
      <c r="A11" s="1">
        <v>10950</v>
      </c>
      <c r="B11" s="1" t="s">
        <v>2</v>
      </c>
      <c r="C11" s="1" t="s">
        <v>4</v>
      </c>
      <c r="D11" s="4">
        <v>26.790939999999999</v>
      </c>
      <c r="E11" s="89" t="s">
        <v>65</v>
      </c>
      <c r="F11" s="84">
        <v>26.790939999999999</v>
      </c>
      <c r="G11" s="85"/>
      <c r="H11" s="86"/>
      <c r="I11" s="87"/>
      <c r="J11" s="123"/>
      <c r="K11" s="177">
        <v>1.2331780000000001</v>
      </c>
      <c r="L11" s="62">
        <v>0</v>
      </c>
      <c r="M11" s="128"/>
      <c r="N11" s="75"/>
      <c r="O11" s="152"/>
      <c r="P11" s="166">
        <f t="shared" si="0"/>
        <v>26.790939999999999</v>
      </c>
      <c r="Q11" s="16">
        <v>0</v>
      </c>
      <c r="R11" s="8">
        <f>12.150149+0.056098</f>
        <v>12.206247000000001</v>
      </c>
      <c r="S11" s="13">
        <v>2.2246730000000001</v>
      </c>
      <c r="T11" s="13">
        <v>0.91847400000000001</v>
      </c>
      <c r="U11" s="13">
        <v>7.5714519999999998</v>
      </c>
      <c r="V11" s="56">
        <v>0</v>
      </c>
      <c r="W11" s="215">
        <f t="shared" si="1"/>
        <v>16.076340999999999</v>
      </c>
    </row>
    <row r="12" spans="1:24" ht="15" customHeight="1" x14ac:dyDescent="0.3">
      <c r="A12" s="1">
        <v>10951</v>
      </c>
      <c r="B12" s="1" t="s">
        <v>2</v>
      </c>
      <c r="C12" s="1" t="s">
        <v>4</v>
      </c>
      <c r="D12" s="4">
        <v>10.134499999999999</v>
      </c>
      <c r="E12" s="85" t="s">
        <v>60</v>
      </c>
      <c r="F12" s="86">
        <v>10.134499999999999</v>
      </c>
      <c r="G12" s="85"/>
      <c r="H12" s="86"/>
      <c r="I12" s="84"/>
      <c r="J12" s="119"/>
      <c r="K12" s="177">
        <v>0</v>
      </c>
      <c r="L12" s="62">
        <v>0</v>
      </c>
      <c r="M12" s="129"/>
      <c r="N12" s="75"/>
      <c r="O12" s="152"/>
      <c r="P12" s="166">
        <f t="shared" si="0"/>
        <v>10.134499999999999</v>
      </c>
      <c r="Q12" s="16">
        <v>0</v>
      </c>
      <c r="R12" s="8">
        <v>0</v>
      </c>
      <c r="S12" s="13">
        <v>3.9774419999999999</v>
      </c>
      <c r="T12" s="13">
        <v>1.9430000000000001E-3</v>
      </c>
      <c r="U12" s="13">
        <v>0.23014299999999999</v>
      </c>
      <c r="V12" s="56">
        <v>0</v>
      </c>
      <c r="W12" s="215">
        <f t="shared" si="1"/>
        <v>5.9249719999999995</v>
      </c>
    </row>
    <row r="13" spans="1:24" ht="15" customHeight="1" x14ac:dyDescent="0.3">
      <c r="A13" s="1">
        <v>10955</v>
      </c>
      <c r="B13" s="1" t="s">
        <v>2</v>
      </c>
      <c r="C13" s="1" t="s">
        <v>4</v>
      </c>
      <c r="D13" s="4">
        <v>25.178820000000002</v>
      </c>
      <c r="E13" s="85" t="s">
        <v>65</v>
      </c>
      <c r="F13" s="86">
        <v>25.178820000000002</v>
      </c>
      <c r="G13" s="88"/>
      <c r="H13" s="87"/>
      <c r="I13" s="87"/>
      <c r="J13" s="123"/>
      <c r="K13" s="177">
        <v>0</v>
      </c>
      <c r="L13" s="62">
        <v>0</v>
      </c>
      <c r="M13" s="128"/>
      <c r="N13" s="75"/>
      <c r="O13" s="141"/>
      <c r="P13" s="166">
        <f t="shared" si="0"/>
        <v>25.178820000000002</v>
      </c>
      <c r="Q13" s="16">
        <v>0</v>
      </c>
      <c r="R13" s="8">
        <v>0</v>
      </c>
      <c r="S13" s="13">
        <v>0</v>
      </c>
      <c r="T13" s="13">
        <v>5.1744529999999997</v>
      </c>
      <c r="U13" s="13">
        <v>4.0594999999999999</v>
      </c>
      <c r="V13" s="56">
        <v>0</v>
      </c>
      <c r="W13" s="215">
        <f t="shared" si="1"/>
        <v>15.944867000000002</v>
      </c>
    </row>
    <row r="14" spans="1:24" ht="15" customHeight="1" x14ac:dyDescent="0.3">
      <c r="A14" s="1">
        <v>10957</v>
      </c>
      <c r="B14" s="1" t="s">
        <v>2</v>
      </c>
      <c r="C14" s="1" t="s">
        <v>4</v>
      </c>
      <c r="D14" s="4">
        <v>42.369599999999998</v>
      </c>
      <c r="E14" s="89" t="s">
        <v>26</v>
      </c>
      <c r="F14" s="84">
        <v>42.369599999999998</v>
      </c>
      <c r="G14" s="89"/>
      <c r="H14" s="84"/>
      <c r="I14" s="87"/>
      <c r="J14" s="123"/>
      <c r="K14" s="177">
        <v>0.18808900000000001</v>
      </c>
      <c r="L14" s="62">
        <v>2.5773470000000001</v>
      </c>
      <c r="M14" s="128"/>
      <c r="N14" s="75"/>
      <c r="O14" s="152"/>
      <c r="P14" s="166">
        <f t="shared" si="0"/>
        <v>24.677389999999999</v>
      </c>
      <c r="Q14" s="16">
        <v>17.692209999999999</v>
      </c>
      <c r="R14" s="8">
        <v>0</v>
      </c>
      <c r="S14" s="13">
        <v>15.15875</v>
      </c>
      <c r="T14" s="13">
        <v>15.60042</v>
      </c>
      <c r="U14" s="13">
        <v>2.5237609999999999</v>
      </c>
      <c r="V14" s="56">
        <v>0</v>
      </c>
      <c r="W14" s="215">
        <f t="shared" si="1"/>
        <v>9.0866690000000006</v>
      </c>
    </row>
    <row r="15" spans="1:24" ht="15" customHeight="1" x14ac:dyDescent="0.3">
      <c r="A15" s="1">
        <v>10964</v>
      </c>
      <c r="B15" s="1" t="s">
        <v>2</v>
      </c>
      <c r="C15" s="1" t="s">
        <v>4</v>
      </c>
      <c r="D15" s="4">
        <v>58.896709999999999</v>
      </c>
      <c r="E15" s="89"/>
      <c r="F15" s="84"/>
      <c r="G15" s="85"/>
      <c r="H15" s="86"/>
      <c r="I15" s="87"/>
      <c r="J15" s="123"/>
      <c r="K15" s="177">
        <v>0</v>
      </c>
      <c r="L15" s="62">
        <v>0</v>
      </c>
      <c r="M15" s="128" t="s">
        <v>38</v>
      </c>
      <c r="N15" s="75">
        <v>58.896709999999999</v>
      </c>
      <c r="O15" s="152"/>
      <c r="P15" s="166">
        <f t="shared" si="0"/>
        <v>0</v>
      </c>
      <c r="Q15" s="16">
        <v>58.896709999999999</v>
      </c>
      <c r="R15" s="8">
        <v>9.4678330000000006</v>
      </c>
      <c r="S15" s="13">
        <v>0</v>
      </c>
      <c r="T15" s="13">
        <v>6.4327170000000002</v>
      </c>
      <c r="U15" s="13">
        <v>36.409309999999998</v>
      </c>
      <c r="V15" s="56">
        <v>0</v>
      </c>
      <c r="W15" s="215">
        <f t="shared" si="1"/>
        <v>16.054682999999997</v>
      </c>
    </row>
    <row r="16" spans="1:24" ht="15" customHeight="1" x14ac:dyDescent="0.3">
      <c r="A16" s="1">
        <v>10972</v>
      </c>
      <c r="B16" s="1" t="s">
        <v>2</v>
      </c>
      <c r="C16" s="1" t="s">
        <v>4</v>
      </c>
      <c r="D16" s="4">
        <v>19.258099999999999</v>
      </c>
      <c r="E16" s="89"/>
      <c r="F16" s="84"/>
      <c r="G16" s="88"/>
      <c r="H16" s="87"/>
      <c r="I16" s="87"/>
      <c r="J16" s="123"/>
      <c r="K16" s="177">
        <v>0</v>
      </c>
      <c r="L16" s="62">
        <v>0</v>
      </c>
      <c r="M16" s="128" t="s">
        <v>39</v>
      </c>
      <c r="N16" s="75">
        <v>19.258099999999999</v>
      </c>
      <c r="O16" s="152"/>
      <c r="P16" s="166">
        <f t="shared" si="0"/>
        <v>0</v>
      </c>
      <c r="Q16" s="16">
        <v>19.258099999999999</v>
      </c>
      <c r="R16" s="8">
        <v>5.1928970000000003</v>
      </c>
      <c r="S16" s="13">
        <v>0.448494</v>
      </c>
      <c r="T16" s="13">
        <v>12.74919</v>
      </c>
      <c r="U16" s="13">
        <v>0.86751800000000001</v>
      </c>
      <c r="V16" s="56">
        <v>0</v>
      </c>
      <c r="W16" s="215">
        <f t="shared" si="1"/>
        <v>5.1928979999999978</v>
      </c>
    </row>
    <row r="17" spans="1:24" ht="15" customHeight="1" x14ac:dyDescent="0.3">
      <c r="A17" s="1">
        <v>10973</v>
      </c>
      <c r="B17" s="1" t="s">
        <v>2</v>
      </c>
      <c r="C17" s="1" t="s">
        <v>4</v>
      </c>
      <c r="D17" s="4">
        <v>45.013739999999999</v>
      </c>
      <c r="E17" s="89" t="s">
        <v>26</v>
      </c>
      <c r="F17" s="84">
        <v>45.013739999999999</v>
      </c>
      <c r="G17" s="85"/>
      <c r="H17" s="86"/>
      <c r="I17" s="87"/>
      <c r="J17" s="123"/>
      <c r="K17" s="177">
        <v>10.020156</v>
      </c>
      <c r="L17" s="62">
        <v>0</v>
      </c>
      <c r="M17" s="128"/>
      <c r="N17" s="75"/>
      <c r="O17" s="141"/>
      <c r="P17" s="166">
        <f t="shared" si="0"/>
        <v>45.013739999999999</v>
      </c>
      <c r="Q17" s="16">
        <v>0</v>
      </c>
      <c r="R17" s="8">
        <v>1.978132</v>
      </c>
      <c r="S17" s="13">
        <v>12.400069999999999</v>
      </c>
      <c r="T17" s="13">
        <v>6.7780430000000003</v>
      </c>
      <c r="U17" s="13">
        <v>14.77618</v>
      </c>
      <c r="V17" s="56">
        <v>10.020182</v>
      </c>
      <c r="W17" s="215">
        <f t="shared" si="1"/>
        <v>1.0392650000000003</v>
      </c>
    </row>
    <row r="18" spans="1:24" ht="15" customHeight="1" x14ac:dyDescent="0.3">
      <c r="A18" s="1">
        <v>10974</v>
      </c>
      <c r="B18" s="1" t="s">
        <v>2</v>
      </c>
      <c r="C18" s="1" t="s">
        <v>4</v>
      </c>
      <c r="D18" s="4">
        <v>72.430980000000005</v>
      </c>
      <c r="E18" s="89" t="s">
        <v>65</v>
      </c>
      <c r="F18" s="84">
        <v>72.430980000000005</v>
      </c>
      <c r="G18" s="89"/>
      <c r="H18" s="84"/>
      <c r="I18" s="89"/>
      <c r="J18" s="119"/>
      <c r="K18" s="177">
        <v>0</v>
      </c>
      <c r="L18" s="62">
        <v>0</v>
      </c>
      <c r="M18" s="128"/>
      <c r="N18" s="75"/>
      <c r="O18" s="141"/>
      <c r="P18" s="166">
        <f t="shared" si="0"/>
        <v>70.684246000000002</v>
      </c>
      <c r="Q18" s="16">
        <v>1.746734</v>
      </c>
      <c r="R18" s="8">
        <v>0</v>
      </c>
      <c r="S18" s="13">
        <v>7.1862459999999997</v>
      </c>
      <c r="T18" s="13">
        <v>38.772689999999997</v>
      </c>
      <c r="U18" s="13">
        <v>18.99146</v>
      </c>
      <c r="V18" s="56">
        <v>0</v>
      </c>
      <c r="W18" s="215">
        <f t="shared" si="1"/>
        <v>7.4805840000000074</v>
      </c>
    </row>
    <row r="19" spans="1:24" ht="15" customHeight="1" x14ac:dyDescent="0.3">
      <c r="A19" s="1">
        <v>10975</v>
      </c>
      <c r="B19" s="1" t="s">
        <v>2</v>
      </c>
      <c r="C19" s="1" t="s">
        <v>4</v>
      </c>
      <c r="D19" s="4">
        <v>12.873849999999999</v>
      </c>
      <c r="E19" s="89" t="s">
        <v>26</v>
      </c>
      <c r="F19" s="84">
        <v>12.873849999999999</v>
      </c>
      <c r="G19" s="89"/>
      <c r="H19" s="84"/>
      <c r="I19" s="84"/>
      <c r="J19" s="119"/>
      <c r="K19" s="177">
        <v>1.996397</v>
      </c>
      <c r="L19" s="62">
        <v>46.3309</v>
      </c>
      <c r="M19" s="128"/>
      <c r="N19" s="75"/>
      <c r="O19" s="194"/>
      <c r="P19" s="166">
        <f t="shared" si="0"/>
        <v>1.5042099999999987</v>
      </c>
      <c r="Q19" s="16">
        <v>11.36964</v>
      </c>
      <c r="R19" s="8">
        <v>0</v>
      </c>
      <c r="S19" s="13">
        <v>5.2514370000000001</v>
      </c>
      <c r="T19" s="13">
        <v>7.6224150000000002</v>
      </c>
      <c r="U19" s="13">
        <v>0</v>
      </c>
      <c r="V19" s="56">
        <v>0</v>
      </c>
      <c r="W19" s="215">
        <f t="shared" si="1"/>
        <v>-2.0000000002795559E-6</v>
      </c>
    </row>
    <row r="20" spans="1:24" ht="15" customHeight="1" x14ac:dyDescent="0.3">
      <c r="A20" s="1">
        <v>10976</v>
      </c>
      <c r="B20" s="1" t="s">
        <v>2</v>
      </c>
      <c r="C20" s="1" t="s">
        <v>4</v>
      </c>
      <c r="D20" s="4">
        <v>24.76764</v>
      </c>
      <c r="E20" s="89" t="s">
        <v>26</v>
      </c>
      <c r="F20" s="84">
        <v>24.76764</v>
      </c>
      <c r="G20" s="89"/>
      <c r="H20" s="84"/>
      <c r="I20" s="87"/>
      <c r="J20" s="123"/>
      <c r="K20" s="177">
        <f>0.255026+1.415516+11.454343</f>
        <v>13.124884999999999</v>
      </c>
      <c r="L20" s="62">
        <v>0</v>
      </c>
      <c r="M20" s="128"/>
      <c r="N20" s="75"/>
      <c r="O20" s="152"/>
      <c r="P20" s="166">
        <f t="shared" si="0"/>
        <v>24.76764</v>
      </c>
      <c r="Q20" s="16">
        <v>0</v>
      </c>
      <c r="R20" s="8">
        <f>0.280683+4.397702</f>
        <v>4.6783849999999996</v>
      </c>
      <c r="S20" s="13">
        <v>18.06493</v>
      </c>
      <c r="T20" s="13">
        <v>0</v>
      </c>
      <c r="U20" s="13">
        <v>0.54281299999999999</v>
      </c>
      <c r="V20" s="56">
        <v>4.5727999999999998E-2</v>
      </c>
      <c r="W20" s="215">
        <f t="shared" si="1"/>
        <v>6.1141690000000004</v>
      </c>
    </row>
    <row r="21" spans="1:24" ht="15" customHeight="1" x14ac:dyDescent="0.3">
      <c r="A21" s="1">
        <v>10977</v>
      </c>
      <c r="B21" s="1" t="s">
        <v>2</v>
      </c>
      <c r="C21" s="1" t="s">
        <v>4</v>
      </c>
      <c r="D21" s="4">
        <v>24.59122</v>
      </c>
      <c r="E21" s="89"/>
      <c r="F21" s="84"/>
      <c r="G21" s="89"/>
      <c r="H21" s="84"/>
      <c r="I21" s="84"/>
      <c r="J21" s="119"/>
      <c r="K21" s="177">
        <v>0</v>
      </c>
      <c r="L21" s="62">
        <v>1.4190309999999999</v>
      </c>
      <c r="M21" s="128" t="s">
        <v>39</v>
      </c>
      <c r="N21" s="75">
        <v>24.59122</v>
      </c>
      <c r="O21" s="152"/>
      <c r="P21" s="166">
        <f t="shared" si="0"/>
        <v>0</v>
      </c>
      <c r="Q21" s="16">
        <v>24.59122</v>
      </c>
      <c r="R21" s="8">
        <v>0</v>
      </c>
      <c r="S21" s="13">
        <v>5.6241089999999998</v>
      </c>
      <c r="T21" s="13">
        <v>18.967110000000002</v>
      </c>
      <c r="U21" s="13">
        <v>0</v>
      </c>
      <c r="V21" s="56">
        <v>0</v>
      </c>
      <c r="W21" s="215">
        <f t="shared" si="1"/>
        <v>9.9999999747524271E-7</v>
      </c>
    </row>
    <row r="22" spans="1:24" x14ac:dyDescent="0.3">
      <c r="A22" s="1">
        <v>22174</v>
      </c>
      <c r="B22" s="1" t="s">
        <v>2</v>
      </c>
      <c r="C22" s="1" t="s">
        <v>4</v>
      </c>
      <c r="D22" s="4">
        <v>61.473909999999997</v>
      </c>
      <c r="E22" s="89"/>
      <c r="F22" s="84"/>
      <c r="G22" s="89"/>
      <c r="H22" s="84"/>
      <c r="I22" s="87"/>
      <c r="J22" s="123"/>
      <c r="K22" s="177">
        <v>0</v>
      </c>
      <c r="L22" s="62">
        <v>0</v>
      </c>
      <c r="M22" s="128" t="s">
        <v>39</v>
      </c>
      <c r="N22" s="75">
        <v>61.473909999999997</v>
      </c>
      <c r="O22" s="152"/>
      <c r="P22" s="166">
        <f t="shared" si="0"/>
        <v>0</v>
      </c>
      <c r="Q22" s="16">
        <v>61.473909999999997</v>
      </c>
      <c r="R22" s="8">
        <v>22.547049999999999</v>
      </c>
      <c r="S22" s="13">
        <v>0</v>
      </c>
      <c r="T22" s="13">
        <v>0</v>
      </c>
      <c r="U22" s="13">
        <v>2.1233379999999999</v>
      </c>
      <c r="V22" s="56">
        <v>1.256068</v>
      </c>
      <c r="W22" s="215">
        <f t="shared" si="1"/>
        <v>58.094503999999993</v>
      </c>
    </row>
    <row r="23" spans="1:24" x14ac:dyDescent="0.3">
      <c r="A23" s="1">
        <v>22180</v>
      </c>
      <c r="B23" s="1" t="s">
        <v>2</v>
      </c>
      <c r="C23" s="1" t="s">
        <v>4</v>
      </c>
      <c r="D23" s="4">
        <v>67.015420000000006</v>
      </c>
      <c r="E23" s="89"/>
      <c r="F23" s="84"/>
      <c r="G23" s="88"/>
      <c r="H23" s="87"/>
      <c r="I23" s="87"/>
      <c r="J23" s="123"/>
      <c r="K23" s="177">
        <v>0</v>
      </c>
      <c r="L23" s="62">
        <v>0</v>
      </c>
      <c r="M23" s="128" t="s">
        <v>39</v>
      </c>
      <c r="N23" s="75">
        <v>67.015420000000006</v>
      </c>
      <c r="O23" s="141"/>
      <c r="P23" s="166">
        <f t="shared" si="0"/>
        <v>0</v>
      </c>
      <c r="Q23" s="16">
        <v>67.015420000000006</v>
      </c>
      <c r="R23" s="8">
        <v>0</v>
      </c>
      <c r="S23" s="13">
        <v>31.01652</v>
      </c>
      <c r="T23" s="13">
        <v>7.3278740000000004</v>
      </c>
      <c r="U23" s="13">
        <v>1.238505</v>
      </c>
      <c r="V23" s="56">
        <v>0</v>
      </c>
      <c r="W23" s="215">
        <f t="shared" si="1"/>
        <v>27.432521000000008</v>
      </c>
    </row>
    <row r="24" spans="1:24" s="67" customFormat="1" x14ac:dyDescent="0.3">
      <c r="A24" s="171" t="s">
        <v>67</v>
      </c>
      <c r="B24" s="171" t="s">
        <v>2</v>
      </c>
      <c r="C24" s="171"/>
      <c r="D24" s="164">
        <f>SUM(D3:D23)</f>
        <v>738.96208799999999</v>
      </c>
      <c r="E24" s="164"/>
      <c r="F24" s="164">
        <f>SUM(F3:F23)</f>
        <v>469.74314599999991</v>
      </c>
      <c r="G24" s="164"/>
      <c r="H24" s="164">
        <f>SUM(H3:H23)</f>
        <v>0.36309200000000003</v>
      </c>
      <c r="I24" s="164"/>
      <c r="J24" s="164">
        <f>SUM(J3:J23)</f>
        <v>0</v>
      </c>
      <c r="K24" s="164">
        <f>SUM(K3:K23)</f>
        <v>120.244327</v>
      </c>
      <c r="L24" s="164">
        <f>SUM(L3:L23)</f>
        <v>63.294027999999997</v>
      </c>
      <c r="M24" s="164"/>
      <c r="N24" s="164">
        <f t="shared" ref="N24:W24" si="2">SUM(N3:N23)</f>
        <v>268.85585000000003</v>
      </c>
      <c r="O24" s="164">
        <f t="shared" si="2"/>
        <v>0</v>
      </c>
      <c r="P24" s="164">
        <f t="shared" si="2"/>
        <v>398.13939399999992</v>
      </c>
      <c r="Q24" s="164">
        <f t="shared" si="2"/>
        <v>340.82269400000001</v>
      </c>
      <c r="R24" s="164">
        <f t="shared" si="2"/>
        <v>76.330692999999997</v>
      </c>
      <c r="S24" s="164">
        <f>SUM(S3:S23)</f>
        <v>171.69843699999996</v>
      </c>
      <c r="T24" s="164">
        <f t="shared" si="2"/>
        <v>179.47632099999998</v>
      </c>
      <c r="U24" s="164">
        <f t="shared" si="2"/>
        <v>168.97828999999996</v>
      </c>
      <c r="V24" s="164">
        <f t="shared" si="2"/>
        <v>11.321978000000001</v>
      </c>
      <c r="W24" s="164">
        <f t="shared" si="2"/>
        <v>207.48706199999998</v>
      </c>
    </row>
    <row r="25" spans="1:24" s="155" customFormat="1" ht="28.8" x14ac:dyDescent="0.3">
      <c r="A25" s="112"/>
      <c r="B25" s="112"/>
      <c r="C25" s="112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0"/>
      <c r="R25" s="114"/>
      <c r="S25" s="381" t="s">
        <v>79</v>
      </c>
      <c r="T25" s="382"/>
      <c r="U25" s="382"/>
      <c r="V25" s="97" t="s">
        <v>85</v>
      </c>
      <c r="W25" s="113"/>
      <c r="X25" s="155" t="s">
        <v>130</v>
      </c>
    </row>
    <row r="26" spans="1:24" s="155" customFormat="1" ht="28.8" x14ac:dyDescent="0.3">
      <c r="A26" s="112"/>
      <c r="B26" s="112"/>
      <c r="C26" s="112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0"/>
      <c r="R26" s="114"/>
      <c r="S26" s="58" t="s">
        <v>80</v>
      </c>
      <c r="T26" s="58" t="s">
        <v>81</v>
      </c>
      <c r="U26" s="58" t="s">
        <v>82</v>
      </c>
      <c r="V26" s="186" t="s">
        <v>83</v>
      </c>
      <c r="W26" s="58" t="s">
        <v>84</v>
      </c>
    </row>
    <row r="27" spans="1:24" x14ac:dyDescent="0.3">
      <c r="A27" s="212">
        <v>8147</v>
      </c>
      <c r="B27" s="212" t="s">
        <v>40</v>
      </c>
      <c r="C27" s="212" t="s">
        <v>3</v>
      </c>
      <c r="D27" s="197">
        <v>13.014720000000001</v>
      </c>
      <c r="E27" s="183" t="s">
        <v>65</v>
      </c>
      <c r="F27" s="147">
        <v>11.780512</v>
      </c>
      <c r="G27" s="183" t="s">
        <v>26</v>
      </c>
      <c r="H27" s="147">
        <v>0.12853500000000001</v>
      </c>
      <c r="I27" s="203"/>
      <c r="J27" s="203"/>
      <c r="K27" s="145">
        <v>0</v>
      </c>
      <c r="L27" s="184">
        <v>0</v>
      </c>
      <c r="M27" s="214"/>
      <c r="N27" s="175"/>
      <c r="O27" s="178">
        <v>1.105674</v>
      </c>
      <c r="P27" s="166">
        <f>D27-Q27</f>
        <v>11.909049</v>
      </c>
      <c r="Q27" s="167">
        <v>1.1056710000000001</v>
      </c>
      <c r="R27" s="188">
        <f>1.468461+1.310407</f>
        <v>2.7788680000000001</v>
      </c>
      <c r="S27" s="170">
        <v>1.298025</v>
      </c>
      <c r="T27" s="170">
        <f>1.468208+3.37143</f>
        <v>4.8396379999999999</v>
      </c>
      <c r="U27" s="170">
        <v>0</v>
      </c>
      <c r="V27" s="174">
        <v>0</v>
      </c>
      <c r="W27" s="215">
        <f>D27-(S27+T27+U27+V27)</f>
        <v>6.8770570000000006</v>
      </c>
    </row>
    <row r="28" spans="1:24" x14ac:dyDescent="0.3">
      <c r="A28" s="1">
        <v>8148</v>
      </c>
      <c r="B28" s="1" t="s">
        <v>40</v>
      </c>
      <c r="C28" s="1" t="s">
        <v>3</v>
      </c>
      <c r="D28" s="7">
        <v>18.784690000000001</v>
      </c>
      <c r="E28" s="89" t="s">
        <v>307</v>
      </c>
      <c r="F28" s="84">
        <v>18.784690000000001</v>
      </c>
      <c r="G28" s="89"/>
      <c r="H28" s="84"/>
      <c r="I28" s="84"/>
      <c r="J28" s="84"/>
      <c r="K28" s="177">
        <v>0</v>
      </c>
      <c r="L28" s="62">
        <v>0.85848000000000002</v>
      </c>
      <c r="M28" s="53"/>
      <c r="N28" s="52"/>
      <c r="O28" s="152"/>
      <c r="P28" s="166">
        <f t="shared" ref="P28:P42" si="3">D28-Q28</f>
        <v>18.784690000000001</v>
      </c>
      <c r="Q28" s="16">
        <v>0</v>
      </c>
      <c r="R28" s="35">
        <v>15.743976</v>
      </c>
      <c r="S28" s="13">
        <f>4.490539+2.375451+0.181661+0.622048+0.662288+0.400625</f>
        <v>8.7326119999999996</v>
      </c>
      <c r="T28" s="13">
        <v>9.9686649999999997</v>
      </c>
      <c r="U28" s="13">
        <v>8.3414000000000002E-2</v>
      </c>
      <c r="V28" s="56">
        <v>0</v>
      </c>
      <c r="W28" s="29">
        <f t="shared" ref="W28:W42" si="4">D28-(S28+T28+U28+V28)</f>
        <v>-9.9999999747524271E-7</v>
      </c>
    </row>
    <row r="29" spans="1:24" x14ac:dyDescent="0.3">
      <c r="A29" s="212">
        <v>8151</v>
      </c>
      <c r="B29" s="212" t="s">
        <v>40</v>
      </c>
      <c r="C29" s="212" t="s">
        <v>3</v>
      </c>
      <c r="D29" s="160">
        <v>43.001220000000004</v>
      </c>
      <c r="E29" s="183" t="s">
        <v>26</v>
      </c>
      <c r="F29" s="147">
        <v>43.001224000000001</v>
      </c>
      <c r="G29" s="172"/>
      <c r="H29" s="203"/>
      <c r="I29" s="203"/>
      <c r="J29" s="158"/>
      <c r="K29" s="145">
        <v>0.99967099999999998</v>
      </c>
      <c r="L29" s="184">
        <v>0</v>
      </c>
      <c r="M29" s="156"/>
      <c r="N29" s="191"/>
      <c r="O29" s="157"/>
      <c r="P29" s="166">
        <f t="shared" si="3"/>
        <v>43.001220000000004</v>
      </c>
      <c r="Q29" s="16">
        <v>0</v>
      </c>
      <c r="R29" s="168">
        <f>5.583021+5.188343</f>
        <v>10.771363999999998</v>
      </c>
      <c r="S29" s="170">
        <f>0.303923+23.343685+12.247843</f>
        <v>35.895451000000001</v>
      </c>
      <c r="T29" s="170">
        <v>5.5775600000000001</v>
      </c>
      <c r="U29" s="170">
        <v>0</v>
      </c>
      <c r="V29" s="174">
        <v>0</v>
      </c>
      <c r="W29" s="29">
        <f t="shared" si="4"/>
        <v>1.5282090000000039</v>
      </c>
    </row>
    <row r="30" spans="1:24" x14ac:dyDescent="0.3">
      <c r="A30" s="1">
        <v>8160</v>
      </c>
      <c r="B30" s="1" t="s">
        <v>40</v>
      </c>
      <c r="C30" s="1" t="s">
        <v>3</v>
      </c>
      <c r="D30" s="4">
        <v>40.817740000000001</v>
      </c>
      <c r="E30" s="89" t="s">
        <v>307</v>
      </c>
      <c r="F30" s="84">
        <v>40.817735999999996</v>
      </c>
      <c r="G30" s="89"/>
      <c r="H30" s="84"/>
      <c r="K30" s="177">
        <f>3.507056+3.571656</f>
        <v>7.0787119999999994</v>
      </c>
      <c r="L30" s="184">
        <v>0</v>
      </c>
      <c r="M30" s="128"/>
      <c r="N30" s="75"/>
      <c r="O30" s="152"/>
      <c r="P30" s="166">
        <f t="shared" si="3"/>
        <v>40.817740000000001</v>
      </c>
      <c r="Q30" s="16">
        <v>0</v>
      </c>
      <c r="R30" s="8">
        <v>0</v>
      </c>
      <c r="S30" s="13">
        <v>0</v>
      </c>
      <c r="T30" s="13">
        <v>0</v>
      </c>
      <c r="U30" s="13">
        <v>0</v>
      </c>
      <c r="V30" s="56">
        <v>0</v>
      </c>
      <c r="W30" s="29">
        <f t="shared" si="4"/>
        <v>40.817740000000001</v>
      </c>
    </row>
    <row r="31" spans="1:24" x14ac:dyDescent="0.3">
      <c r="A31" s="1">
        <v>8161</v>
      </c>
      <c r="B31" s="1" t="s">
        <v>40</v>
      </c>
      <c r="C31" s="1" t="s">
        <v>3</v>
      </c>
      <c r="D31" s="4">
        <v>26.72775</v>
      </c>
      <c r="E31" s="89"/>
      <c r="F31" s="84"/>
      <c r="G31" s="89"/>
      <c r="H31" s="84"/>
      <c r="I31" s="87"/>
      <c r="J31" s="123"/>
      <c r="K31" s="177">
        <v>0</v>
      </c>
      <c r="L31" s="184">
        <v>0</v>
      </c>
      <c r="M31" s="128" t="s">
        <v>38</v>
      </c>
      <c r="N31" s="75">
        <v>26.727753</v>
      </c>
      <c r="O31" s="141"/>
      <c r="P31" s="166">
        <f t="shared" si="3"/>
        <v>-2.9999999995311555E-6</v>
      </c>
      <c r="Q31" s="16">
        <v>26.727753</v>
      </c>
      <c r="R31" s="8">
        <v>18.220372000000001</v>
      </c>
      <c r="S31" s="13">
        <v>6.3218209999999999</v>
      </c>
      <c r="T31" s="13">
        <v>18.567755999999999</v>
      </c>
      <c r="U31" s="13">
        <v>1.8381769999999999</v>
      </c>
      <c r="V31" s="56">
        <v>0</v>
      </c>
      <c r="W31" s="29">
        <f t="shared" si="4"/>
        <v>-3.9999999970063982E-6</v>
      </c>
    </row>
    <row r="32" spans="1:24" x14ac:dyDescent="0.3">
      <c r="A32" s="1">
        <v>8802</v>
      </c>
      <c r="B32" s="1" t="s">
        <v>40</v>
      </c>
      <c r="C32" s="1" t="s">
        <v>6</v>
      </c>
      <c r="D32" s="4">
        <v>57.274610000000003</v>
      </c>
      <c r="E32" s="89" t="s">
        <v>26</v>
      </c>
      <c r="F32" s="84">
        <v>57.274614</v>
      </c>
      <c r="G32" s="88"/>
      <c r="H32" s="87"/>
      <c r="I32" s="87"/>
      <c r="J32" s="123"/>
      <c r="K32" s="177">
        <v>0</v>
      </c>
      <c r="L32" s="184">
        <v>0</v>
      </c>
      <c r="M32" s="128"/>
      <c r="N32" s="75"/>
      <c r="O32" s="141"/>
      <c r="P32" s="166">
        <f t="shared" si="3"/>
        <v>57.274610000000003</v>
      </c>
      <c r="Q32" s="16">
        <v>0</v>
      </c>
      <c r="R32" s="8">
        <v>10.344106999999999</v>
      </c>
      <c r="S32" s="13">
        <v>12.427246999999999</v>
      </c>
      <c r="T32" s="13">
        <v>44.847366000000001</v>
      </c>
      <c r="U32" s="13">
        <v>0</v>
      </c>
      <c r="V32" s="56">
        <v>0</v>
      </c>
      <c r="W32" s="29">
        <f t="shared" si="4"/>
        <v>-2.9999999995311555E-6</v>
      </c>
      <c r="X32" s="15"/>
    </row>
    <row r="33" spans="1:349" x14ac:dyDescent="0.3">
      <c r="A33" s="1">
        <v>8803</v>
      </c>
      <c r="B33" s="1" t="s">
        <v>40</v>
      </c>
      <c r="C33" s="1" t="s">
        <v>6</v>
      </c>
      <c r="D33" s="4">
        <v>14.73737</v>
      </c>
      <c r="E33" s="89" t="s">
        <v>58</v>
      </c>
      <c r="F33" s="84">
        <v>14.73737</v>
      </c>
      <c r="G33" s="85"/>
      <c r="H33" s="86"/>
      <c r="I33" s="87"/>
      <c r="J33" s="123"/>
      <c r="K33" s="177">
        <f>2.950333+0.081891</f>
        <v>3.0322240000000003</v>
      </c>
      <c r="L33" s="184">
        <v>0</v>
      </c>
      <c r="M33" s="128"/>
      <c r="N33" s="75"/>
      <c r="O33" s="152"/>
      <c r="P33" s="166">
        <f t="shared" si="3"/>
        <v>14.73737</v>
      </c>
      <c r="Q33" s="16">
        <v>0</v>
      </c>
      <c r="R33" s="8">
        <v>0</v>
      </c>
      <c r="S33" s="13">
        <v>0</v>
      </c>
      <c r="T33" s="13">
        <v>8.1890000000000004E-2</v>
      </c>
      <c r="U33" s="13">
        <v>10.728393000000001</v>
      </c>
      <c r="V33" s="56">
        <v>0</v>
      </c>
      <c r="W33" s="29">
        <f t="shared" si="4"/>
        <v>3.9270870000000002</v>
      </c>
    </row>
    <row r="34" spans="1:349" x14ac:dyDescent="0.3">
      <c r="A34" s="1">
        <v>8804</v>
      </c>
      <c r="B34" s="1" t="s">
        <v>40</v>
      </c>
      <c r="C34" s="1" t="s">
        <v>6</v>
      </c>
      <c r="D34" s="4">
        <v>15.584770000000001</v>
      </c>
      <c r="E34" s="89" t="s">
        <v>26</v>
      </c>
      <c r="F34" s="84">
        <v>15.584765000000001</v>
      </c>
      <c r="G34" s="88"/>
      <c r="H34" s="87"/>
      <c r="I34" s="87"/>
      <c r="J34" s="123"/>
      <c r="K34" s="177">
        <f>3.01905</f>
        <v>3.01905</v>
      </c>
      <c r="L34" s="184">
        <v>0</v>
      </c>
      <c r="M34" s="128"/>
      <c r="N34" s="75"/>
      <c r="O34" s="152"/>
      <c r="P34" s="166">
        <f t="shared" si="3"/>
        <v>15.584770000000001</v>
      </c>
      <c r="Q34" s="16">
        <v>0</v>
      </c>
      <c r="R34" s="8">
        <f>0.995384+3.281616</f>
        <v>4.2770000000000001</v>
      </c>
      <c r="S34" s="13">
        <v>6.3479369999999999</v>
      </c>
      <c r="T34" s="13">
        <v>0</v>
      </c>
      <c r="U34" s="13">
        <v>0</v>
      </c>
      <c r="V34" s="56">
        <v>0</v>
      </c>
      <c r="W34" s="29">
        <f t="shared" si="4"/>
        <v>9.2368330000000007</v>
      </c>
    </row>
    <row r="35" spans="1:349" x14ac:dyDescent="0.3">
      <c r="A35" s="1">
        <v>8807</v>
      </c>
      <c r="B35" s="1" t="s">
        <v>40</v>
      </c>
      <c r="C35" s="1" t="s">
        <v>6</v>
      </c>
      <c r="D35" s="4">
        <v>74.752160000000003</v>
      </c>
      <c r="E35" s="89" t="s">
        <v>65</v>
      </c>
      <c r="F35" s="84">
        <v>49.055259</v>
      </c>
      <c r="G35" s="89" t="s">
        <v>35</v>
      </c>
      <c r="H35" s="84">
        <v>25.656555999999998</v>
      </c>
      <c r="I35" s="87"/>
      <c r="J35" s="123"/>
      <c r="K35" s="177">
        <f>8.415508+0.544189</f>
        <v>8.9596970000000002</v>
      </c>
      <c r="L35" s="184">
        <v>0</v>
      </c>
      <c r="M35" s="128"/>
      <c r="N35" s="75"/>
      <c r="O35" s="152">
        <v>7.7309000000000003E-2</v>
      </c>
      <c r="P35" s="166">
        <f t="shared" si="3"/>
        <v>74.674851000000004</v>
      </c>
      <c r="Q35" s="16">
        <v>7.7309000000000003E-2</v>
      </c>
      <c r="R35" s="8">
        <v>0</v>
      </c>
      <c r="S35" s="13">
        <v>36.740853999999999</v>
      </c>
      <c r="T35" s="13">
        <v>19.508336</v>
      </c>
      <c r="U35" s="13">
        <v>13.859951000000001</v>
      </c>
      <c r="V35" s="56">
        <v>4.6145940000000003</v>
      </c>
      <c r="W35" s="29">
        <f t="shared" si="4"/>
        <v>2.8425000000012801E-2</v>
      </c>
    </row>
    <row r="36" spans="1:349" x14ac:dyDescent="0.3">
      <c r="A36" s="1">
        <v>8818</v>
      </c>
      <c r="B36" s="1" t="s">
        <v>40</v>
      </c>
      <c r="C36" s="1" t="s">
        <v>6</v>
      </c>
      <c r="D36" s="4">
        <v>13.025230000000001</v>
      </c>
      <c r="E36" s="89" t="s">
        <v>65</v>
      </c>
      <c r="F36" s="84">
        <v>13.025233999999999</v>
      </c>
      <c r="G36" s="85"/>
      <c r="H36" s="86"/>
      <c r="I36" s="87"/>
      <c r="J36" s="123"/>
      <c r="K36" s="177">
        <v>0</v>
      </c>
      <c r="L36" s="184">
        <v>0</v>
      </c>
      <c r="M36" s="128"/>
      <c r="N36" s="75"/>
      <c r="O36" s="152"/>
      <c r="P36" s="166">
        <f t="shared" si="3"/>
        <v>11.562848000000001</v>
      </c>
      <c r="Q36" s="16">
        <v>1.4623820000000001</v>
      </c>
      <c r="R36" s="8">
        <v>10.58489</v>
      </c>
      <c r="S36" s="13">
        <v>2.3081480000000001</v>
      </c>
      <c r="T36" s="13">
        <v>2.6891929999999999</v>
      </c>
      <c r="U36" s="13">
        <v>8.0278930000000006</v>
      </c>
      <c r="V36" s="56">
        <v>0</v>
      </c>
      <c r="W36" s="29">
        <f t="shared" si="4"/>
        <v>-4.0000000005591119E-6</v>
      </c>
      <c r="X36" s="15"/>
      <c r="AA36" s="15"/>
    </row>
    <row r="37" spans="1:349" x14ac:dyDescent="0.3">
      <c r="A37" s="1">
        <v>8820</v>
      </c>
      <c r="B37" s="1" t="s">
        <v>40</v>
      </c>
      <c r="C37" s="1" t="s">
        <v>6</v>
      </c>
      <c r="D37" s="4">
        <v>22.219200000000001</v>
      </c>
      <c r="E37" s="89" t="s">
        <v>65</v>
      </c>
      <c r="F37" s="84">
        <v>22.219204000000001</v>
      </c>
      <c r="G37" s="89"/>
      <c r="H37" s="84"/>
      <c r="I37" s="87"/>
      <c r="J37" s="123"/>
      <c r="K37" s="177">
        <v>0</v>
      </c>
      <c r="L37" s="62">
        <v>4.674944</v>
      </c>
      <c r="M37" s="128"/>
      <c r="N37" s="75"/>
      <c r="O37" s="152"/>
      <c r="P37" s="166">
        <f t="shared" si="3"/>
        <v>-4.0000000005591119E-6</v>
      </c>
      <c r="Q37" s="16">
        <v>22.219204000000001</v>
      </c>
      <c r="R37" s="8">
        <f>2.268811+0.346721</f>
        <v>2.615532</v>
      </c>
      <c r="S37" s="13">
        <v>21.782292000000002</v>
      </c>
      <c r="T37" s="13">
        <v>0.427425</v>
      </c>
      <c r="U37" s="13">
        <v>0</v>
      </c>
      <c r="V37" s="56">
        <v>0</v>
      </c>
      <c r="W37" s="29">
        <f t="shared" si="4"/>
        <v>9.4829999999994641E-3</v>
      </c>
    </row>
    <row r="38" spans="1:349" x14ac:dyDescent="0.3">
      <c r="A38" s="1">
        <v>8848</v>
      </c>
      <c r="B38" s="1" t="s">
        <v>40</v>
      </c>
      <c r="C38" s="1" t="s">
        <v>6</v>
      </c>
      <c r="D38" s="4">
        <v>12.00853</v>
      </c>
      <c r="E38" s="89" t="s">
        <v>26</v>
      </c>
      <c r="F38" s="84">
        <v>12.008528</v>
      </c>
      <c r="G38" s="88"/>
      <c r="H38" s="87"/>
      <c r="I38" s="87"/>
      <c r="J38" s="123"/>
      <c r="K38" s="177">
        <v>0.104694</v>
      </c>
      <c r="L38" s="62">
        <v>0</v>
      </c>
      <c r="M38" s="128"/>
      <c r="N38" s="75"/>
      <c r="O38" s="152"/>
      <c r="P38" s="166">
        <f t="shared" si="3"/>
        <v>12.00853</v>
      </c>
      <c r="Q38" s="16">
        <v>0</v>
      </c>
      <c r="R38" s="8">
        <v>3.606236</v>
      </c>
      <c r="S38" s="13">
        <v>0</v>
      </c>
      <c r="T38" s="13">
        <v>11.903776000000001</v>
      </c>
      <c r="U38" s="13">
        <v>0.104752</v>
      </c>
      <c r="V38" s="56">
        <v>0</v>
      </c>
      <c r="W38" s="29">
        <f t="shared" si="4"/>
        <v>2.0000000002795559E-6</v>
      </c>
    </row>
    <row r="39" spans="1:349" x14ac:dyDescent="0.3">
      <c r="A39" s="1">
        <v>9849</v>
      </c>
      <c r="B39" s="1" t="s">
        <v>40</v>
      </c>
      <c r="C39" s="1" t="s">
        <v>4</v>
      </c>
      <c r="D39" s="4">
        <v>40.640039999999999</v>
      </c>
      <c r="E39" s="89" t="s">
        <v>307</v>
      </c>
      <c r="F39" s="84">
        <v>33.284607000000001</v>
      </c>
      <c r="G39" s="89" t="s">
        <v>137</v>
      </c>
      <c r="H39" s="84">
        <v>4.6192659999999997</v>
      </c>
      <c r="I39" s="87" t="s">
        <v>65</v>
      </c>
      <c r="J39" s="123">
        <v>5.5819000000000001E-2</v>
      </c>
      <c r="K39" s="177">
        <v>0</v>
      </c>
      <c r="L39" s="62">
        <v>20.033548</v>
      </c>
      <c r="M39" s="128"/>
      <c r="N39" s="75"/>
      <c r="O39" s="152">
        <v>2.6803560000000002</v>
      </c>
      <c r="P39" s="166">
        <f t="shared" si="3"/>
        <v>37.959683999999996</v>
      </c>
      <c r="Q39" s="16">
        <v>2.6803560000000002</v>
      </c>
      <c r="R39" s="8">
        <v>0</v>
      </c>
      <c r="S39" s="13">
        <v>25.990082999999998</v>
      </c>
      <c r="T39" s="13">
        <v>12.358015999999999</v>
      </c>
      <c r="U39" s="13">
        <v>0</v>
      </c>
      <c r="V39" s="56">
        <v>2.291944</v>
      </c>
      <c r="W39" s="29">
        <f t="shared" si="4"/>
        <v>-2.9999999995311555E-6</v>
      </c>
    </row>
    <row r="40" spans="1:349" x14ac:dyDescent="0.3">
      <c r="A40" s="1">
        <v>9850</v>
      </c>
      <c r="B40" s="1" t="s">
        <v>40</v>
      </c>
      <c r="C40" s="1" t="s">
        <v>4</v>
      </c>
      <c r="D40" s="4">
        <v>25.596229999999998</v>
      </c>
      <c r="E40" s="89" t="s">
        <v>307</v>
      </c>
      <c r="F40" s="84">
        <v>23.044955999999999</v>
      </c>
      <c r="G40" s="88" t="s">
        <v>138</v>
      </c>
      <c r="H40" s="87">
        <v>2.5512709999999998</v>
      </c>
      <c r="I40" s="87"/>
      <c r="J40" s="123"/>
      <c r="K40" s="177">
        <f>0.397002+2.549469</f>
        <v>2.9464710000000003</v>
      </c>
      <c r="L40" s="62">
        <v>0</v>
      </c>
      <c r="M40" s="128"/>
      <c r="N40" s="75"/>
      <c r="O40" s="152"/>
      <c r="P40" s="166">
        <f t="shared" si="3"/>
        <v>25.596229999999998</v>
      </c>
      <c r="Q40" s="16">
        <v>0</v>
      </c>
      <c r="R40" s="8">
        <v>0.413323</v>
      </c>
      <c r="S40" s="13">
        <v>9.9819809999999993</v>
      </c>
      <c r="T40" s="13">
        <v>2.1838489999999999</v>
      </c>
      <c r="U40" s="13">
        <v>0.39816800000000002</v>
      </c>
      <c r="V40" s="56">
        <v>7.9999999999999996E-6</v>
      </c>
      <c r="W40" s="29">
        <f t="shared" si="4"/>
        <v>13.032223999999999</v>
      </c>
    </row>
    <row r="41" spans="1:349" x14ac:dyDescent="0.3">
      <c r="A41" s="1">
        <v>9851</v>
      </c>
      <c r="B41" s="1" t="s">
        <v>40</v>
      </c>
      <c r="C41" s="1" t="s">
        <v>4</v>
      </c>
      <c r="D41" s="4">
        <v>41.016500000000001</v>
      </c>
      <c r="E41" s="89" t="s">
        <v>26</v>
      </c>
      <c r="F41" s="84">
        <v>41.016494999999999</v>
      </c>
      <c r="G41" s="85"/>
      <c r="H41" s="86"/>
      <c r="I41" s="87"/>
      <c r="J41" s="123"/>
      <c r="K41" s="177">
        <f>7.62096+1.997485+4.060626+3.079404+3.079404</f>
        <v>19.837879000000001</v>
      </c>
      <c r="L41" s="62">
        <f>5.069027+0.413663</f>
        <v>5.4826899999999998</v>
      </c>
      <c r="M41" s="128"/>
      <c r="N41" s="75"/>
      <c r="O41" s="141"/>
      <c r="P41" s="166">
        <f t="shared" si="3"/>
        <v>41.016500000000001</v>
      </c>
      <c r="Q41" s="16">
        <v>0</v>
      </c>
      <c r="R41" s="8">
        <v>0</v>
      </c>
      <c r="S41" s="13">
        <v>12.757277</v>
      </c>
      <c r="T41" s="13">
        <v>3.1317889999999999</v>
      </c>
      <c r="U41" s="13">
        <v>0</v>
      </c>
      <c r="V41" s="56">
        <v>0</v>
      </c>
      <c r="W41" s="29">
        <f t="shared" si="4"/>
        <v>25.127434000000001</v>
      </c>
    </row>
    <row r="42" spans="1:349" x14ac:dyDescent="0.3">
      <c r="A42" s="1">
        <v>9859</v>
      </c>
      <c r="B42" s="1" t="s">
        <v>40</v>
      </c>
      <c r="C42" s="1" t="s">
        <v>4</v>
      </c>
      <c r="D42" s="4">
        <v>13.98132</v>
      </c>
      <c r="E42" s="85" t="s">
        <v>65</v>
      </c>
      <c r="F42" s="86">
        <v>13.981322</v>
      </c>
      <c r="G42" s="88"/>
      <c r="H42" s="87"/>
      <c r="I42" s="87"/>
      <c r="J42" s="123"/>
      <c r="K42" s="177">
        <v>3.9147280000000002</v>
      </c>
      <c r="L42" s="62">
        <v>0</v>
      </c>
      <c r="M42" s="128"/>
      <c r="N42" s="75"/>
      <c r="O42" s="141"/>
      <c r="P42" s="166">
        <f t="shared" si="3"/>
        <v>13.98132</v>
      </c>
      <c r="Q42" s="16">
        <v>0</v>
      </c>
      <c r="R42" s="8">
        <v>0</v>
      </c>
      <c r="S42" s="13">
        <v>13.618905</v>
      </c>
      <c r="T42" s="13">
        <v>0</v>
      </c>
      <c r="U42" s="13">
        <v>0</v>
      </c>
      <c r="V42" s="56">
        <v>0</v>
      </c>
      <c r="W42" s="29">
        <f t="shared" si="4"/>
        <v>0.36241500000000038</v>
      </c>
    </row>
    <row r="43" spans="1:349" s="51" customFormat="1" x14ac:dyDescent="0.3">
      <c r="A43" s="68" t="s">
        <v>67</v>
      </c>
      <c r="B43" s="68" t="s">
        <v>40</v>
      </c>
      <c r="C43" s="68"/>
      <c r="D43" s="93">
        <f>SUM(D27:D42)</f>
        <v>473.18207999999998</v>
      </c>
      <c r="E43" s="93"/>
      <c r="F43" s="93">
        <f>SUM(F27:F42)</f>
        <v>409.61651599999999</v>
      </c>
      <c r="G43" s="93"/>
      <c r="H43" s="93">
        <f>SUM(H27:H42)</f>
        <v>32.955627999999997</v>
      </c>
      <c r="I43" s="93"/>
      <c r="J43" s="93">
        <f>SUM(J27:J42)</f>
        <v>5.5819000000000001E-2</v>
      </c>
      <c r="K43" s="93">
        <f>SUM(K27:K42)</f>
        <v>49.893125999999995</v>
      </c>
      <c r="L43" s="93">
        <f>SUM(L27:L42)</f>
        <v>31.049661999999998</v>
      </c>
      <c r="M43" s="93"/>
      <c r="N43" s="93">
        <f t="shared" ref="N43:W43" si="5">SUM(N27:N42)</f>
        <v>26.727753</v>
      </c>
      <c r="O43" s="93">
        <f t="shared" si="5"/>
        <v>3.8633390000000003</v>
      </c>
      <c r="P43" s="66">
        <f t="shared" si="5"/>
        <v>418.90940499999994</v>
      </c>
      <c r="Q43" s="111">
        <f t="shared" si="5"/>
        <v>54.272675000000007</v>
      </c>
      <c r="R43" s="93">
        <f t="shared" si="5"/>
        <v>79.355667999999994</v>
      </c>
      <c r="S43" s="93">
        <f t="shared" si="5"/>
        <v>194.20263299999999</v>
      </c>
      <c r="T43" s="93">
        <f t="shared" si="5"/>
        <v>136.08525900000001</v>
      </c>
      <c r="U43" s="93">
        <f t="shared" si="5"/>
        <v>35.040747999999994</v>
      </c>
      <c r="V43" s="93">
        <f t="shared" si="5"/>
        <v>6.9065460000000005</v>
      </c>
      <c r="W43" s="93">
        <f t="shared" si="5"/>
        <v>100.94689400000001</v>
      </c>
      <c r="X43" s="93"/>
    </row>
    <row r="44" spans="1:349" s="51" customFormat="1" ht="28.8" x14ac:dyDescent="0.3">
      <c r="A44" s="224"/>
      <c r="B44" s="224"/>
      <c r="C44" s="224"/>
      <c r="D44" s="225"/>
      <c r="E44" s="226"/>
      <c r="F44" s="227"/>
      <c r="G44" s="228"/>
      <c r="H44" s="37"/>
      <c r="I44" s="37"/>
      <c r="J44" s="229"/>
      <c r="K44" s="230"/>
      <c r="L44" s="37"/>
      <c r="M44" s="231"/>
      <c r="N44" s="232"/>
      <c r="O44" s="232"/>
      <c r="P44" s="29"/>
      <c r="Q44" s="233"/>
      <c r="R44" s="234"/>
      <c r="S44" s="391" t="s">
        <v>19</v>
      </c>
      <c r="T44" s="392"/>
      <c r="U44" s="392"/>
      <c r="V44" s="240" t="s">
        <v>20</v>
      </c>
      <c r="W44" s="241"/>
      <c r="X44" s="70" t="s">
        <v>131</v>
      </c>
      <c r="Y44" s="235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</row>
    <row r="45" spans="1:349" s="51" customFormat="1" ht="28.8" x14ac:dyDescent="0.3">
      <c r="A45" s="224"/>
      <c r="B45" s="224"/>
      <c r="C45" s="224"/>
      <c r="D45" s="225"/>
      <c r="E45" s="226"/>
      <c r="F45" s="227"/>
      <c r="G45" s="228"/>
      <c r="H45" s="37"/>
      <c r="I45" s="37"/>
      <c r="J45" s="229"/>
      <c r="K45" s="230"/>
      <c r="L45" s="37"/>
      <c r="M45" s="231"/>
      <c r="N45" s="232"/>
      <c r="O45" s="232"/>
      <c r="P45" s="29"/>
      <c r="Q45" s="162"/>
      <c r="R45" s="65"/>
      <c r="S45" s="242" t="s">
        <v>21</v>
      </c>
      <c r="T45" s="242" t="s">
        <v>22</v>
      </c>
      <c r="U45" s="242" t="s">
        <v>23</v>
      </c>
      <c r="V45" s="243" t="s">
        <v>24</v>
      </c>
      <c r="W45" s="242" t="s">
        <v>25</v>
      </c>
      <c r="X45" s="235"/>
      <c r="Y45" s="235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</row>
    <row r="46" spans="1:349" s="51" customFormat="1" x14ac:dyDescent="0.3">
      <c r="A46" s="49">
        <v>12010</v>
      </c>
      <c r="B46" s="223" t="s">
        <v>63</v>
      </c>
      <c r="C46" s="223" t="s">
        <v>4</v>
      </c>
      <c r="D46" s="94">
        <v>18.170649999999998</v>
      </c>
      <c r="E46" s="85" t="s">
        <v>65</v>
      </c>
      <c r="F46" s="86">
        <v>7.0059935348</v>
      </c>
      <c r="G46" s="88"/>
      <c r="H46" s="87"/>
      <c r="I46" s="87"/>
      <c r="J46" s="123"/>
      <c r="K46" s="140">
        <v>0</v>
      </c>
      <c r="L46" s="63">
        <v>0</v>
      </c>
      <c r="M46" s="124" t="s">
        <v>39</v>
      </c>
      <c r="N46" s="74">
        <v>11.164658471499999</v>
      </c>
      <c r="O46" s="194"/>
      <c r="P46" s="166">
        <f t="shared" ref="P46" si="6">D46-Q46</f>
        <v>7.0059939999999976</v>
      </c>
      <c r="Q46" s="16">
        <v>11.164656000000001</v>
      </c>
      <c r="R46" s="106">
        <v>0</v>
      </c>
      <c r="S46" s="110">
        <f>12.469141+2.059568</f>
        <v>14.528709000000001</v>
      </c>
      <c r="T46" s="103">
        <v>0</v>
      </c>
      <c r="U46" s="103">
        <v>3.6419440000000001</v>
      </c>
      <c r="V46" s="104">
        <v>0</v>
      </c>
      <c r="W46" s="29">
        <f>D46-(S46+T46+U46+V46)</f>
        <v>-3.0000000030838692E-6</v>
      </c>
      <c r="X46" s="236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</row>
    <row r="47" spans="1:349" s="51" customFormat="1" x14ac:dyDescent="0.3">
      <c r="A47" s="68" t="s">
        <v>67</v>
      </c>
      <c r="B47" s="68" t="s">
        <v>63</v>
      </c>
      <c r="C47" s="68"/>
      <c r="D47" s="93">
        <f>SUM(D46)</f>
        <v>18.170649999999998</v>
      </c>
      <c r="E47" s="93"/>
      <c r="F47" s="93">
        <f>SUM(F46)</f>
        <v>7.0059935348</v>
      </c>
      <c r="G47" s="93"/>
      <c r="H47" s="93">
        <f>SUM(H46)</f>
        <v>0</v>
      </c>
      <c r="I47" s="93"/>
      <c r="J47" s="93">
        <f>SUM(J46)</f>
        <v>0</v>
      </c>
      <c r="K47" s="93">
        <f>SUM(K46)</f>
        <v>0</v>
      </c>
      <c r="L47" s="93">
        <f>SUM(L46)</f>
        <v>0</v>
      </c>
      <c r="M47" s="93"/>
      <c r="N47" s="93">
        <f t="shared" ref="N47:W47" si="7">SUM(N46)</f>
        <v>11.164658471499999</v>
      </c>
      <c r="O47" s="93">
        <f>SUM(O46)</f>
        <v>0</v>
      </c>
      <c r="P47" s="66">
        <f t="shared" si="7"/>
        <v>7.0059939999999976</v>
      </c>
      <c r="Q47" s="111">
        <f t="shared" si="7"/>
        <v>11.164656000000001</v>
      </c>
      <c r="R47" s="93">
        <f t="shared" si="7"/>
        <v>0</v>
      </c>
      <c r="S47" s="93">
        <f t="shared" si="7"/>
        <v>14.528709000000001</v>
      </c>
      <c r="T47" s="93">
        <f t="shared" si="7"/>
        <v>0</v>
      </c>
      <c r="U47" s="93">
        <f t="shared" si="7"/>
        <v>3.6419440000000001</v>
      </c>
      <c r="V47" s="93">
        <f t="shared" si="7"/>
        <v>0</v>
      </c>
      <c r="W47" s="93">
        <f t="shared" si="7"/>
        <v>-3.0000000030838692E-6</v>
      </c>
      <c r="X47" s="93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</row>
    <row r="48" spans="1:349" ht="28.8" x14ac:dyDescent="0.3">
      <c r="A48" s="224"/>
      <c r="B48" s="224"/>
      <c r="C48" s="224"/>
      <c r="D48" s="225"/>
      <c r="E48" s="226"/>
      <c r="F48" s="227"/>
      <c r="G48" s="228"/>
      <c r="H48" s="37"/>
      <c r="I48" s="37"/>
      <c r="J48" s="229"/>
      <c r="K48" s="230"/>
      <c r="L48" s="37"/>
      <c r="M48" s="231"/>
      <c r="N48" s="232"/>
      <c r="O48" s="232"/>
      <c r="P48" s="29"/>
      <c r="Q48" s="233"/>
      <c r="R48" s="234"/>
      <c r="S48" s="381" t="s">
        <v>79</v>
      </c>
      <c r="T48" s="382"/>
      <c r="U48" s="382"/>
      <c r="V48" s="97" t="s">
        <v>85</v>
      </c>
      <c r="W48" s="222"/>
    </row>
    <row r="49" spans="1:24" ht="28.8" x14ac:dyDescent="0.3">
      <c r="A49" s="224"/>
      <c r="B49" s="224"/>
      <c r="C49" s="224"/>
      <c r="D49" s="253" t="s">
        <v>166</v>
      </c>
      <c r="E49" s="226"/>
      <c r="F49" s="227"/>
      <c r="G49" s="228"/>
      <c r="H49" s="37"/>
      <c r="I49" s="37"/>
      <c r="J49" s="229"/>
      <c r="K49" s="230"/>
      <c r="L49" s="37"/>
      <c r="M49" s="231"/>
      <c r="N49" s="232"/>
      <c r="O49" s="232"/>
      <c r="P49" s="29"/>
      <c r="Q49" s="162"/>
      <c r="R49" s="65"/>
      <c r="S49" s="58" t="s">
        <v>80</v>
      </c>
      <c r="T49" s="58" t="s">
        <v>81</v>
      </c>
      <c r="U49" s="58" t="s">
        <v>82</v>
      </c>
      <c r="V49" s="186" t="s">
        <v>83</v>
      </c>
      <c r="W49" s="58" t="s">
        <v>84</v>
      </c>
      <c r="X49" s="155" t="s">
        <v>130</v>
      </c>
    </row>
    <row r="50" spans="1:24" x14ac:dyDescent="0.3">
      <c r="A50" s="49">
        <v>21649</v>
      </c>
      <c r="B50" s="223" t="s">
        <v>128</v>
      </c>
      <c r="C50" s="49" t="s">
        <v>5</v>
      </c>
      <c r="D50" s="94">
        <v>15.025700000000001</v>
      </c>
      <c r="E50" s="85" t="s">
        <v>167</v>
      </c>
      <c r="F50" s="86">
        <v>14.45452</v>
      </c>
      <c r="G50" s="89"/>
      <c r="H50" s="84"/>
      <c r="I50" s="84"/>
      <c r="J50" s="119"/>
      <c r="K50" s="140">
        <v>1.2225220000000001</v>
      </c>
      <c r="L50" s="254">
        <v>0</v>
      </c>
      <c r="M50" s="129"/>
      <c r="N50" s="76"/>
      <c r="O50" s="194">
        <v>0.56669999999999998</v>
      </c>
      <c r="P50" s="166">
        <f>D50-Q50</f>
        <v>14.458986000000001</v>
      </c>
      <c r="Q50" s="165">
        <v>0.56671400000000005</v>
      </c>
      <c r="R50" s="8"/>
      <c r="S50" s="110">
        <v>14.990410000000001</v>
      </c>
      <c r="T50" s="103">
        <v>3.1870000000000002E-2</v>
      </c>
      <c r="U50" s="103">
        <v>3.4259999999999998E-3</v>
      </c>
      <c r="V50" s="104">
        <v>0</v>
      </c>
      <c r="W50" s="29">
        <f t="shared" ref="W50:W85" si="8">D50-(S50+T50+U50+V50)</f>
        <v>-5.999999999062311E-6</v>
      </c>
    </row>
    <row r="51" spans="1:24" x14ac:dyDescent="0.3">
      <c r="A51" s="49">
        <v>21650</v>
      </c>
      <c r="B51" s="49" t="s">
        <v>128</v>
      </c>
      <c r="C51" s="49" t="s">
        <v>5</v>
      </c>
      <c r="D51" s="94">
        <v>8.3771909999999998</v>
      </c>
      <c r="E51" s="85" t="s">
        <v>167</v>
      </c>
      <c r="F51" s="86">
        <v>5.715789</v>
      </c>
      <c r="G51" s="89"/>
      <c r="H51" s="84"/>
      <c r="I51" s="84"/>
      <c r="J51" s="119"/>
      <c r="K51" s="140">
        <v>0</v>
      </c>
      <c r="L51" s="254">
        <v>0</v>
      </c>
      <c r="M51" s="129"/>
      <c r="N51" s="76"/>
      <c r="O51" s="194">
        <v>2.6520999999999999</v>
      </c>
      <c r="P51" s="166">
        <f t="shared" ref="P51:P85" si="9">D51-Q51</f>
        <v>5.7251110000000001</v>
      </c>
      <c r="Q51" s="16">
        <v>2.6520800000000002</v>
      </c>
      <c r="R51" s="8"/>
      <c r="S51" s="13">
        <v>3.4606439999999998</v>
      </c>
      <c r="T51" s="103">
        <v>0</v>
      </c>
      <c r="U51" s="103">
        <v>4.9165469999999996</v>
      </c>
      <c r="V51" s="104">
        <v>0</v>
      </c>
      <c r="W51" s="29">
        <f t="shared" si="8"/>
        <v>0</v>
      </c>
    </row>
    <row r="52" spans="1:24" x14ac:dyDescent="0.3">
      <c r="A52" s="49">
        <v>21651</v>
      </c>
      <c r="B52" s="49" t="s">
        <v>128</v>
      </c>
      <c r="C52" s="49" t="s">
        <v>5</v>
      </c>
      <c r="D52" s="94">
        <v>6.3799580000000002</v>
      </c>
      <c r="E52" s="85"/>
      <c r="F52" s="86"/>
      <c r="G52" s="88"/>
      <c r="H52" s="87"/>
      <c r="I52" s="87"/>
      <c r="J52" s="123"/>
      <c r="K52" s="140">
        <v>0</v>
      </c>
      <c r="L52" s="63">
        <v>0</v>
      </c>
      <c r="M52" s="124"/>
      <c r="N52" s="74"/>
      <c r="O52" s="194">
        <f>5.0198+1.36014</f>
        <v>6.3799399999999995</v>
      </c>
      <c r="P52" s="166">
        <f t="shared" si="9"/>
        <v>0</v>
      </c>
      <c r="Q52" s="16">
        <v>6.3799580000000002</v>
      </c>
      <c r="R52" s="8"/>
      <c r="S52" s="110">
        <v>4.7624420000000001</v>
      </c>
      <c r="T52" s="103">
        <v>0</v>
      </c>
      <c r="U52" s="103">
        <v>0</v>
      </c>
      <c r="V52" s="104">
        <v>0</v>
      </c>
      <c r="W52" s="29">
        <f t="shared" si="8"/>
        <v>1.6175160000000002</v>
      </c>
    </row>
    <row r="53" spans="1:24" x14ac:dyDescent="0.3">
      <c r="A53" s="49">
        <v>21652</v>
      </c>
      <c r="B53" s="49" t="s">
        <v>128</v>
      </c>
      <c r="C53" s="49" t="s">
        <v>5</v>
      </c>
      <c r="D53" s="94">
        <v>8.0535060000000005</v>
      </c>
      <c r="G53" s="88"/>
      <c r="H53" s="87"/>
      <c r="I53" s="87"/>
      <c r="J53" s="123"/>
      <c r="K53" s="140">
        <v>0</v>
      </c>
      <c r="L53" s="63">
        <v>0</v>
      </c>
      <c r="M53" s="129"/>
      <c r="N53" s="76"/>
      <c r="O53" s="194">
        <f>6.2756+1.768749</f>
        <v>8.0443490000000004</v>
      </c>
      <c r="P53" s="166">
        <f t="shared" si="9"/>
        <v>9.2040000000004341E-3</v>
      </c>
      <c r="Q53" s="165">
        <v>8.0443020000000001</v>
      </c>
      <c r="R53" s="8"/>
      <c r="S53" s="110">
        <v>0</v>
      </c>
      <c r="T53" s="103">
        <v>2.6343529999999999</v>
      </c>
      <c r="U53" s="103">
        <v>0</v>
      </c>
      <c r="V53" s="104">
        <v>0</v>
      </c>
      <c r="W53" s="29">
        <f t="shared" si="8"/>
        <v>5.4191530000000006</v>
      </c>
    </row>
    <row r="54" spans="1:24" x14ac:dyDescent="0.3">
      <c r="A54" s="49">
        <v>21684</v>
      </c>
      <c r="B54" s="49" t="s">
        <v>128</v>
      </c>
      <c r="C54" s="49" t="s">
        <v>5</v>
      </c>
      <c r="D54" s="94">
        <v>7.5590989999999998</v>
      </c>
      <c r="E54" s="85" t="s">
        <v>65</v>
      </c>
      <c r="F54" s="86">
        <v>7.5590989999999998</v>
      </c>
      <c r="G54" s="88"/>
      <c r="H54" s="87"/>
      <c r="I54" s="87"/>
      <c r="J54" s="123"/>
      <c r="K54" s="140">
        <f>6.18443+1.160151</f>
        <v>7.3445809999999998</v>
      </c>
      <c r="L54" s="63">
        <v>0</v>
      </c>
      <c r="M54" s="124"/>
      <c r="N54" s="74"/>
      <c r="O54" s="194"/>
      <c r="P54" s="166">
        <f t="shared" si="9"/>
        <v>7.5590989999999998</v>
      </c>
      <c r="Q54" s="16">
        <v>0</v>
      </c>
      <c r="R54" s="106"/>
      <c r="S54" s="110">
        <v>0</v>
      </c>
      <c r="T54" s="103">
        <v>0</v>
      </c>
      <c r="U54" s="103">
        <v>0</v>
      </c>
      <c r="V54" s="104">
        <v>0</v>
      </c>
      <c r="W54" s="29">
        <f t="shared" si="8"/>
        <v>7.5590989999999998</v>
      </c>
    </row>
    <row r="55" spans="1:24" x14ac:dyDescent="0.3">
      <c r="A55" s="49">
        <v>21685</v>
      </c>
      <c r="B55" s="49" t="s">
        <v>128</v>
      </c>
      <c r="C55" s="49" t="s">
        <v>5</v>
      </c>
      <c r="D55" s="94">
        <v>6.1212039999999996</v>
      </c>
      <c r="E55" s="92" t="s">
        <v>65</v>
      </c>
      <c r="F55" s="84">
        <v>6.1212039999999996</v>
      </c>
      <c r="G55" s="88"/>
      <c r="H55" s="87"/>
      <c r="I55" s="87"/>
      <c r="J55" s="123"/>
      <c r="K55" s="140">
        <v>6.1212039999999996</v>
      </c>
      <c r="L55" s="63">
        <v>0</v>
      </c>
      <c r="M55" s="124"/>
      <c r="N55" s="74"/>
      <c r="O55" s="194"/>
      <c r="P55" s="166">
        <f t="shared" si="9"/>
        <v>6.1212039999999996</v>
      </c>
      <c r="Q55" s="165">
        <v>0</v>
      </c>
      <c r="R55" s="106"/>
      <c r="S55" s="110">
        <v>0</v>
      </c>
      <c r="T55" s="103">
        <v>0</v>
      </c>
      <c r="U55" s="103">
        <v>0</v>
      </c>
      <c r="V55" s="104">
        <v>0</v>
      </c>
      <c r="W55" s="29">
        <f t="shared" si="8"/>
        <v>6.1212039999999996</v>
      </c>
    </row>
    <row r="56" spans="1:24" x14ac:dyDescent="0.3">
      <c r="A56" s="49">
        <v>21686</v>
      </c>
      <c r="B56" s="49" t="s">
        <v>128</v>
      </c>
      <c r="C56" s="49" t="s">
        <v>5</v>
      </c>
      <c r="D56" s="94">
        <v>25.795300000000001</v>
      </c>
      <c r="E56" s="92" t="s">
        <v>65</v>
      </c>
      <c r="F56" s="84">
        <v>25.795300000000001</v>
      </c>
      <c r="G56" s="88"/>
      <c r="H56" s="87"/>
      <c r="I56" s="87"/>
      <c r="J56" s="123"/>
      <c r="K56" s="177">
        <v>0</v>
      </c>
      <c r="L56" s="63">
        <v>0</v>
      </c>
      <c r="M56" s="129"/>
      <c r="N56" s="76"/>
      <c r="O56" s="194"/>
      <c r="P56" s="166">
        <f t="shared" si="9"/>
        <v>5.97166</v>
      </c>
      <c r="Q56" s="16">
        <v>19.823640000000001</v>
      </c>
      <c r="R56" s="8"/>
      <c r="S56" s="13">
        <v>6.3126790000000002</v>
      </c>
      <c r="T56" s="103">
        <v>13.04921</v>
      </c>
      <c r="U56" s="103">
        <v>5.1409789999999997</v>
      </c>
      <c r="V56" s="104">
        <v>0</v>
      </c>
      <c r="W56" s="29">
        <f t="shared" si="8"/>
        <v>1.2924320000000016</v>
      </c>
    </row>
    <row r="57" spans="1:24" x14ac:dyDescent="0.3">
      <c r="A57" s="49">
        <v>21687</v>
      </c>
      <c r="B57" s="49" t="s">
        <v>128</v>
      </c>
      <c r="C57" s="49" t="s">
        <v>5</v>
      </c>
      <c r="D57" s="94">
        <v>5.1789430000000003</v>
      </c>
      <c r="E57" s="85" t="s">
        <v>65</v>
      </c>
      <c r="F57" s="86">
        <v>5.1789430000000003</v>
      </c>
      <c r="G57" s="88"/>
      <c r="H57" s="87"/>
      <c r="I57" s="87"/>
      <c r="J57" s="123"/>
      <c r="K57" s="177">
        <v>0</v>
      </c>
      <c r="L57" s="63">
        <v>4.9011709999999997</v>
      </c>
      <c r="M57" s="129"/>
      <c r="N57" s="76"/>
      <c r="O57" s="194"/>
      <c r="P57" s="166">
        <f t="shared" si="9"/>
        <v>5.1789430000000003</v>
      </c>
      <c r="Q57" s="16">
        <v>0</v>
      </c>
      <c r="R57" s="8"/>
      <c r="S57" s="110">
        <v>4.689629</v>
      </c>
      <c r="T57" s="103">
        <v>0.48931400000000003</v>
      </c>
      <c r="U57" s="103">
        <v>0</v>
      </c>
      <c r="V57" s="104">
        <v>0</v>
      </c>
      <c r="W57" s="29">
        <f t="shared" si="8"/>
        <v>0</v>
      </c>
    </row>
    <row r="58" spans="1:24" x14ac:dyDescent="0.3">
      <c r="A58" s="49">
        <v>21688</v>
      </c>
      <c r="B58" s="49" t="s">
        <v>128</v>
      </c>
      <c r="C58" s="49" t="s">
        <v>5</v>
      </c>
      <c r="D58" s="94">
        <v>13.07686</v>
      </c>
      <c r="E58" s="85" t="s">
        <v>65</v>
      </c>
      <c r="F58" s="86">
        <v>13.07686</v>
      </c>
      <c r="G58" s="88"/>
      <c r="H58" s="87"/>
      <c r="I58" s="87"/>
      <c r="J58" s="123"/>
      <c r="K58" s="140">
        <v>7.7758070000000004</v>
      </c>
      <c r="L58" s="63">
        <v>8.8588710000000006</v>
      </c>
      <c r="M58" s="129"/>
      <c r="N58" s="76"/>
      <c r="O58" s="194"/>
      <c r="P58" s="166">
        <f t="shared" si="9"/>
        <v>5.4446579999999996</v>
      </c>
      <c r="Q58" s="16">
        <v>7.6322020000000004</v>
      </c>
      <c r="R58" s="8">
        <v>0.638934</v>
      </c>
      <c r="S58" s="13">
        <v>6.0650079999999997</v>
      </c>
      <c r="T58" s="103">
        <v>0.124598</v>
      </c>
      <c r="U58" s="103">
        <v>0</v>
      </c>
      <c r="V58" s="104">
        <v>0</v>
      </c>
      <c r="W58" s="29">
        <f t="shared" si="8"/>
        <v>6.8872540000000004</v>
      </c>
    </row>
    <row r="59" spans="1:24" x14ac:dyDescent="0.3">
      <c r="A59" s="49">
        <v>21690</v>
      </c>
      <c r="B59" s="49" t="s">
        <v>128</v>
      </c>
      <c r="C59" s="49" t="s">
        <v>5</v>
      </c>
      <c r="D59" s="94">
        <v>7.3406849999999997</v>
      </c>
      <c r="E59" s="85" t="s">
        <v>65</v>
      </c>
      <c r="F59" s="86">
        <v>7.3406849999999997</v>
      </c>
      <c r="G59" s="88"/>
      <c r="H59" s="87"/>
      <c r="I59" s="87"/>
      <c r="J59" s="123"/>
      <c r="K59" s="177">
        <v>0</v>
      </c>
      <c r="L59" s="63">
        <v>0</v>
      </c>
      <c r="M59" s="129"/>
      <c r="N59" s="76"/>
      <c r="O59" s="194"/>
      <c r="P59" s="166">
        <f t="shared" si="9"/>
        <v>7.3406849999999997</v>
      </c>
      <c r="Q59" s="16">
        <v>0</v>
      </c>
      <c r="R59" s="8"/>
      <c r="S59" s="110">
        <v>3.8659300000000001</v>
      </c>
      <c r="T59" s="103">
        <v>3.474755</v>
      </c>
      <c r="U59" s="103">
        <v>0</v>
      </c>
      <c r="V59" s="104">
        <v>0</v>
      </c>
      <c r="W59" s="29">
        <f t="shared" si="8"/>
        <v>0</v>
      </c>
    </row>
    <row r="60" spans="1:24" x14ac:dyDescent="0.3">
      <c r="A60" s="49">
        <v>21691</v>
      </c>
      <c r="B60" s="49" t="s">
        <v>128</v>
      </c>
      <c r="C60" s="49" t="s">
        <v>5</v>
      </c>
      <c r="D60" s="94">
        <v>6.082198</v>
      </c>
      <c r="E60" s="85" t="s">
        <v>65</v>
      </c>
      <c r="F60" s="86">
        <v>6.082198</v>
      </c>
      <c r="G60" s="88"/>
      <c r="H60" s="87"/>
      <c r="I60" s="87"/>
      <c r="J60" s="123"/>
      <c r="K60" s="140">
        <v>0.47178700000000001</v>
      </c>
      <c r="L60" s="63">
        <v>0</v>
      </c>
      <c r="M60" s="129"/>
      <c r="N60" s="76"/>
      <c r="O60" s="194"/>
      <c r="P60" s="166">
        <f t="shared" si="9"/>
        <v>3.840916</v>
      </c>
      <c r="Q60" s="16">
        <v>2.241282</v>
      </c>
      <c r="R60" s="8"/>
      <c r="S60" s="13">
        <v>3.0968650000000002</v>
      </c>
      <c r="T60" s="103">
        <v>0.57065500000000002</v>
      </c>
      <c r="U60" s="103">
        <v>1.935376</v>
      </c>
      <c r="V60" s="104">
        <v>0</v>
      </c>
      <c r="W60" s="29">
        <f t="shared" si="8"/>
        <v>0.47930199999999967</v>
      </c>
    </row>
    <row r="61" spans="1:24" x14ac:dyDescent="0.3">
      <c r="A61" s="49">
        <v>21692</v>
      </c>
      <c r="B61" s="49" t="s">
        <v>128</v>
      </c>
      <c r="C61" s="49" t="s">
        <v>5</v>
      </c>
      <c r="D61" s="94">
        <v>20.017209999999999</v>
      </c>
      <c r="E61" s="85" t="s">
        <v>65</v>
      </c>
      <c r="F61" s="86">
        <v>20.017209999999999</v>
      </c>
      <c r="G61" s="88"/>
      <c r="H61" s="87"/>
      <c r="I61" s="87"/>
      <c r="J61" s="123"/>
      <c r="K61" s="140">
        <f>4.964916+1.188392</f>
        <v>6.1533079999999991</v>
      </c>
      <c r="L61" s="63">
        <v>0</v>
      </c>
      <c r="M61" s="129"/>
      <c r="N61" s="76"/>
      <c r="O61" s="194"/>
      <c r="P61" s="166">
        <f t="shared" si="9"/>
        <v>20.017209999999999</v>
      </c>
      <c r="Q61" s="16">
        <v>0</v>
      </c>
      <c r="R61" s="8"/>
      <c r="S61" s="110">
        <v>0</v>
      </c>
      <c r="T61" s="103">
        <v>0</v>
      </c>
      <c r="U61" s="103">
        <v>0</v>
      </c>
      <c r="V61" s="104">
        <v>4.5118119999999999</v>
      </c>
      <c r="W61" s="29">
        <f t="shared" si="8"/>
        <v>15.505398</v>
      </c>
    </row>
    <row r="62" spans="1:24" x14ac:dyDescent="0.3">
      <c r="A62" s="49">
        <v>21693</v>
      </c>
      <c r="B62" s="49" t="s">
        <v>128</v>
      </c>
      <c r="C62" s="49" t="s">
        <v>5</v>
      </c>
      <c r="D62" s="94">
        <v>8.2025729999999992</v>
      </c>
      <c r="E62" s="85" t="s">
        <v>65</v>
      </c>
      <c r="F62" s="86">
        <v>8.2025729999999992</v>
      </c>
      <c r="G62" s="88"/>
      <c r="H62" s="87"/>
      <c r="I62" s="87"/>
      <c r="J62" s="123"/>
      <c r="K62" s="140">
        <v>0.33160600000000001</v>
      </c>
      <c r="L62" s="63">
        <v>0.13342499999999999</v>
      </c>
      <c r="M62" s="129"/>
      <c r="N62" s="76"/>
      <c r="O62" s="194"/>
      <c r="P62" s="166">
        <f t="shared" si="9"/>
        <v>8.2025729999999992</v>
      </c>
      <c r="Q62" s="16">
        <v>0</v>
      </c>
      <c r="R62" s="8"/>
      <c r="S62" s="13">
        <v>5.1852619999999998</v>
      </c>
      <c r="T62" s="103">
        <v>2.6823969999999999</v>
      </c>
      <c r="U62" s="103">
        <v>3.2629999999999998E-3</v>
      </c>
      <c r="V62" s="104">
        <v>0</v>
      </c>
      <c r="W62" s="29">
        <f t="shared" ref="W62:W70" si="10">D62-(S62+T62+U62+V62)</f>
        <v>0.33165099999999992</v>
      </c>
    </row>
    <row r="63" spans="1:24" x14ac:dyDescent="0.3">
      <c r="A63" s="49">
        <v>21694</v>
      </c>
      <c r="B63" s="49" t="s">
        <v>128</v>
      </c>
      <c r="C63" s="49" t="s">
        <v>5</v>
      </c>
      <c r="D63" s="94">
        <v>21.51876</v>
      </c>
      <c r="E63" s="85" t="s">
        <v>65</v>
      </c>
      <c r="F63" s="86">
        <v>21.51876</v>
      </c>
      <c r="G63" s="88"/>
      <c r="H63" s="87"/>
      <c r="I63" s="87"/>
      <c r="J63" s="123"/>
      <c r="K63" s="140">
        <v>0.23826</v>
      </c>
      <c r="L63" s="63">
        <v>0</v>
      </c>
      <c r="M63" s="129"/>
      <c r="N63" s="76"/>
      <c r="O63" s="194"/>
      <c r="P63" s="166">
        <f t="shared" si="9"/>
        <v>13.921314000000001</v>
      </c>
      <c r="Q63" s="16">
        <v>7.5974459999999997</v>
      </c>
      <c r="R63" s="8"/>
      <c r="S63" s="13">
        <v>10.20059</v>
      </c>
      <c r="T63" s="103">
        <v>2.3430140000000002</v>
      </c>
      <c r="U63" s="103">
        <v>6.5475580000000004</v>
      </c>
      <c r="V63" s="104">
        <v>0</v>
      </c>
      <c r="W63" s="29">
        <f t="shared" si="10"/>
        <v>2.4275979999999997</v>
      </c>
    </row>
    <row r="64" spans="1:24" x14ac:dyDescent="0.3">
      <c r="A64" s="49">
        <v>21695</v>
      </c>
      <c r="B64" s="49" t="s">
        <v>128</v>
      </c>
      <c r="C64" s="49" t="s">
        <v>5</v>
      </c>
      <c r="D64" s="94">
        <v>13.01484</v>
      </c>
      <c r="E64" s="85" t="s">
        <v>65</v>
      </c>
      <c r="F64" s="86">
        <v>13.01484</v>
      </c>
      <c r="G64" s="88"/>
      <c r="H64" s="87"/>
      <c r="I64" s="87"/>
      <c r="J64" s="123"/>
      <c r="K64" s="177">
        <v>0</v>
      </c>
      <c r="L64" s="63">
        <v>0</v>
      </c>
      <c r="M64" s="124"/>
      <c r="N64" s="74"/>
      <c r="O64" s="194"/>
      <c r="P64" s="166">
        <f t="shared" si="9"/>
        <v>12.812764999999999</v>
      </c>
      <c r="Q64" s="16">
        <v>0.202075</v>
      </c>
      <c r="R64" s="106"/>
      <c r="S64" s="110">
        <v>6.2049859999999999</v>
      </c>
      <c r="T64" s="103">
        <v>0</v>
      </c>
      <c r="U64" s="103">
        <v>6.8098580000000002</v>
      </c>
      <c r="V64" s="104">
        <v>0</v>
      </c>
      <c r="W64" s="29">
        <f t="shared" si="10"/>
        <v>-4.0000000005591119E-6</v>
      </c>
    </row>
    <row r="65" spans="1:23" x14ac:dyDescent="0.3">
      <c r="A65" s="49">
        <v>21696</v>
      </c>
      <c r="B65" s="49" t="s">
        <v>128</v>
      </c>
      <c r="C65" s="49" t="s">
        <v>5</v>
      </c>
      <c r="D65" s="94">
        <v>73.261240000000001</v>
      </c>
      <c r="E65" s="89" t="s">
        <v>65</v>
      </c>
      <c r="F65" s="84">
        <v>70.933130000000006</v>
      </c>
      <c r="G65" s="89"/>
      <c r="H65" s="84"/>
      <c r="I65" s="84"/>
      <c r="J65" s="119"/>
      <c r="K65" s="177">
        <v>0</v>
      </c>
      <c r="L65" s="254">
        <v>0</v>
      </c>
      <c r="M65" s="129"/>
      <c r="N65" s="76"/>
      <c r="O65" s="194">
        <f>0.3358+1.992289</f>
        <v>2.3280889999999999</v>
      </c>
      <c r="P65" s="166">
        <f t="shared" si="9"/>
        <v>0.10572999999999411</v>
      </c>
      <c r="Q65" s="16">
        <v>73.155510000000007</v>
      </c>
      <c r="R65" s="8">
        <v>5.5688240000000002</v>
      </c>
      <c r="S65" s="110">
        <v>34.06626</v>
      </c>
      <c r="T65" s="103">
        <v>9.2406159999999993</v>
      </c>
      <c r="U65" s="103">
        <v>0</v>
      </c>
      <c r="V65" s="104">
        <v>0</v>
      </c>
      <c r="W65" s="29">
        <f t="shared" si="10"/>
        <v>29.954363999999998</v>
      </c>
    </row>
    <row r="66" spans="1:23" x14ac:dyDescent="0.3">
      <c r="A66" s="49">
        <v>21697</v>
      </c>
      <c r="B66" s="49" t="s">
        <v>128</v>
      </c>
      <c r="C66" s="49" t="s">
        <v>5</v>
      </c>
      <c r="D66" s="94">
        <v>8.5340009999999999</v>
      </c>
      <c r="E66" s="85" t="s">
        <v>65</v>
      </c>
      <c r="F66" s="86">
        <v>8.5340009999999999</v>
      </c>
      <c r="G66" s="88"/>
      <c r="H66" s="87"/>
      <c r="I66" s="87"/>
      <c r="J66" s="123"/>
      <c r="K66" s="140">
        <v>0</v>
      </c>
      <c r="L66" s="63">
        <v>2.1451720000000001</v>
      </c>
      <c r="M66" s="129"/>
      <c r="N66" s="76"/>
      <c r="O66" s="194"/>
      <c r="P66" s="166">
        <f t="shared" si="9"/>
        <v>0.81897199999999959</v>
      </c>
      <c r="Q66" s="165">
        <v>7.7150290000000004</v>
      </c>
      <c r="R66" s="8">
        <v>0.40214899999999998</v>
      </c>
      <c r="S66" s="13">
        <v>6.5212000000000003</v>
      </c>
      <c r="T66" s="103">
        <v>0.44816</v>
      </c>
      <c r="U66" s="103">
        <v>1.5646409999999999</v>
      </c>
      <c r="V66" s="104">
        <v>0</v>
      </c>
      <c r="W66" s="29">
        <f t="shared" si="10"/>
        <v>0</v>
      </c>
    </row>
    <row r="67" spans="1:23" x14ac:dyDescent="0.3">
      <c r="A67" s="49">
        <v>21698</v>
      </c>
      <c r="B67" s="49" t="s">
        <v>128</v>
      </c>
      <c r="C67" s="49" t="s">
        <v>5</v>
      </c>
      <c r="D67" s="94">
        <v>8.1921800000000005</v>
      </c>
      <c r="E67" s="85" t="s">
        <v>65</v>
      </c>
      <c r="F67" s="86">
        <v>8.1921800000000005</v>
      </c>
      <c r="G67" s="88"/>
      <c r="H67" s="87"/>
      <c r="I67" s="87"/>
      <c r="J67" s="123"/>
      <c r="K67" s="140">
        <v>0.165631</v>
      </c>
      <c r="L67" s="63">
        <v>7.1485900000000004</v>
      </c>
      <c r="M67" s="124"/>
      <c r="N67" s="74"/>
      <c r="O67" s="194"/>
      <c r="P67" s="166">
        <f t="shared" si="9"/>
        <v>8.1921800000000005</v>
      </c>
      <c r="Q67" s="16">
        <v>0</v>
      </c>
      <c r="R67" s="8">
        <v>4.9081380000000001</v>
      </c>
      <c r="S67" s="13">
        <v>0</v>
      </c>
      <c r="T67" s="103">
        <v>4.9640870000000001</v>
      </c>
      <c r="U67" s="103">
        <v>3.0611630000000001</v>
      </c>
      <c r="V67" s="104">
        <v>0</v>
      </c>
      <c r="W67" s="29">
        <f t="shared" si="10"/>
        <v>0.16693000000000069</v>
      </c>
    </row>
    <row r="68" spans="1:23" x14ac:dyDescent="0.3">
      <c r="A68" s="49">
        <v>21699</v>
      </c>
      <c r="B68" s="49" t="s">
        <v>128</v>
      </c>
      <c r="C68" s="49" t="s">
        <v>5</v>
      </c>
      <c r="D68" s="94">
        <v>11.371919999999999</v>
      </c>
      <c r="E68" s="89" t="s">
        <v>65</v>
      </c>
      <c r="F68" s="84">
        <v>11.371919999999999</v>
      </c>
      <c r="G68" s="88"/>
      <c r="H68" s="87"/>
      <c r="I68" s="87"/>
      <c r="J68" s="123"/>
      <c r="K68" s="177">
        <v>0</v>
      </c>
      <c r="L68" s="63">
        <v>0</v>
      </c>
      <c r="M68" s="124"/>
      <c r="N68" s="74"/>
      <c r="O68" s="194"/>
      <c r="P68" s="166">
        <f t="shared" si="9"/>
        <v>0</v>
      </c>
      <c r="Q68" s="16">
        <v>11.371919999999999</v>
      </c>
      <c r="R68" s="106"/>
      <c r="S68" s="110">
        <v>11.332090000000001</v>
      </c>
      <c r="T68" s="103">
        <v>0</v>
      </c>
      <c r="U68" s="103">
        <v>3.9829999999999997E-2</v>
      </c>
      <c r="V68" s="104">
        <v>0</v>
      </c>
      <c r="W68" s="29">
        <f t="shared" si="10"/>
        <v>0</v>
      </c>
    </row>
    <row r="69" spans="1:23" x14ac:dyDescent="0.3">
      <c r="A69" s="49">
        <v>21700</v>
      </c>
      <c r="B69" s="49" t="s">
        <v>128</v>
      </c>
      <c r="C69" s="49" t="s">
        <v>5</v>
      </c>
      <c r="D69" s="94">
        <v>10.192780000000001</v>
      </c>
      <c r="E69" s="89" t="s">
        <v>65</v>
      </c>
      <c r="F69" s="84">
        <v>10.192780000000001</v>
      </c>
      <c r="G69" s="88"/>
      <c r="H69" s="87"/>
      <c r="I69" s="87"/>
      <c r="J69" s="123"/>
      <c r="K69" s="140">
        <v>0</v>
      </c>
      <c r="L69" s="63">
        <f>4.591392+0.688521</f>
        <v>5.2799129999999996</v>
      </c>
      <c r="M69" s="124"/>
      <c r="N69" s="74"/>
      <c r="O69" s="194"/>
      <c r="P69" s="166">
        <f t="shared" si="9"/>
        <v>5.4140000000000299E-2</v>
      </c>
      <c r="Q69" s="16">
        <v>10.138640000000001</v>
      </c>
      <c r="R69" s="8"/>
      <c r="S69" s="110">
        <v>4.8270239999999998</v>
      </c>
      <c r="T69" s="103">
        <v>4.5987590000000003</v>
      </c>
      <c r="U69" s="103">
        <v>7.8466999999999995E-2</v>
      </c>
      <c r="V69" s="104">
        <v>0</v>
      </c>
      <c r="W69" s="29">
        <f t="shared" si="10"/>
        <v>0.68853000000000186</v>
      </c>
    </row>
    <row r="70" spans="1:23" x14ac:dyDescent="0.3">
      <c r="A70" s="49">
        <v>21701</v>
      </c>
      <c r="B70" s="49" t="s">
        <v>128</v>
      </c>
      <c r="C70" s="49" t="s">
        <v>5</v>
      </c>
      <c r="D70" s="94">
        <v>15.28398</v>
      </c>
      <c r="E70" s="89" t="s">
        <v>65</v>
      </c>
      <c r="F70" s="84">
        <v>15.28398</v>
      </c>
      <c r="G70" s="88"/>
      <c r="H70" s="87"/>
      <c r="I70" s="87"/>
      <c r="J70" s="123"/>
      <c r="K70" s="140">
        <v>2.8966780000000001</v>
      </c>
      <c r="L70" s="63">
        <v>2.8967640000000001</v>
      </c>
      <c r="M70" s="124"/>
      <c r="N70" s="74"/>
      <c r="O70" s="194"/>
      <c r="P70" s="166">
        <f t="shared" si="9"/>
        <v>13.633782</v>
      </c>
      <c r="Q70" s="16">
        <v>1.6501980000000001</v>
      </c>
      <c r="R70" s="8"/>
      <c r="S70" s="110">
        <v>7.1252880000000003</v>
      </c>
      <c r="T70" s="103">
        <v>0</v>
      </c>
      <c r="U70" s="103">
        <v>0</v>
      </c>
      <c r="V70" s="104">
        <v>0</v>
      </c>
      <c r="W70" s="29">
        <f t="shared" si="10"/>
        <v>8.1586919999999985</v>
      </c>
    </row>
    <row r="71" spans="1:23" x14ac:dyDescent="0.3">
      <c r="A71" s="49">
        <v>21702</v>
      </c>
      <c r="B71" s="49" t="s">
        <v>128</v>
      </c>
      <c r="C71" s="49" t="s">
        <v>5</v>
      </c>
      <c r="D71" s="94">
        <v>25.288080000000001</v>
      </c>
      <c r="E71" s="89" t="s">
        <v>65</v>
      </c>
      <c r="F71" s="84">
        <v>25.288080000000001</v>
      </c>
      <c r="G71" s="88"/>
      <c r="H71" s="87"/>
      <c r="I71" s="87"/>
      <c r="J71" s="123"/>
      <c r="K71" s="140">
        <v>0</v>
      </c>
      <c r="L71" s="63">
        <v>2.0856270000000001</v>
      </c>
      <c r="M71" s="124"/>
      <c r="N71" s="74"/>
      <c r="O71" s="194"/>
      <c r="P71" s="166">
        <f t="shared" si="9"/>
        <v>25.254845</v>
      </c>
      <c r="Q71" s="16">
        <v>3.3235000000000001E-2</v>
      </c>
      <c r="R71" s="8"/>
      <c r="S71" s="13">
        <v>20.57255</v>
      </c>
      <c r="T71" s="103">
        <v>0</v>
      </c>
      <c r="U71" s="103">
        <v>0</v>
      </c>
      <c r="V71" s="104">
        <v>0</v>
      </c>
      <c r="W71" s="29">
        <f t="shared" si="8"/>
        <v>4.7155300000000011</v>
      </c>
    </row>
    <row r="72" spans="1:23" x14ac:dyDescent="0.3">
      <c r="A72" s="49">
        <v>21703</v>
      </c>
      <c r="B72" s="49" t="s">
        <v>128</v>
      </c>
      <c r="C72" s="49" t="s">
        <v>5</v>
      </c>
      <c r="D72" s="94">
        <v>56.215899999999998</v>
      </c>
      <c r="E72" s="89" t="s">
        <v>65</v>
      </c>
      <c r="F72" s="84">
        <v>52.946190000000001</v>
      </c>
      <c r="G72" s="88"/>
      <c r="H72" s="87"/>
      <c r="I72" s="87"/>
      <c r="J72" s="123"/>
      <c r="K72" s="140">
        <v>43.354379999999999</v>
      </c>
      <c r="L72" s="63">
        <f>1.183981+8.717978+3.812176+4.000151</f>
        <v>17.714285999999998</v>
      </c>
      <c r="M72" s="129"/>
      <c r="N72" s="76"/>
      <c r="O72" s="194">
        <v>3.2696999999999998</v>
      </c>
      <c r="P72" s="166">
        <f t="shared" si="9"/>
        <v>52.946191999999996</v>
      </c>
      <c r="Q72" s="165">
        <v>3.2697080000000001</v>
      </c>
      <c r="R72" s="8"/>
      <c r="S72" s="13">
        <v>0</v>
      </c>
      <c r="T72" s="103">
        <v>0</v>
      </c>
      <c r="U72" s="103">
        <v>12.09374</v>
      </c>
      <c r="V72" s="104">
        <v>0</v>
      </c>
      <c r="W72" s="29">
        <f t="shared" si="8"/>
        <v>44.122159999999994</v>
      </c>
    </row>
    <row r="73" spans="1:23" x14ac:dyDescent="0.3">
      <c r="A73" s="49">
        <v>21704</v>
      </c>
      <c r="B73" s="49" t="s">
        <v>128</v>
      </c>
      <c r="C73" s="49" t="s">
        <v>5</v>
      </c>
      <c r="D73" s="94">
        <v>138.58160000000001</v>
      </c>
      <c r="E73" s="85" t="s">
        <v>65</v>
      </c>
      <c r="F73" s="86">
        <v>66.753619999999998</v>
      </c>
      <c r="G73" s="88"/>
      <c r="H73" s="87"/>
      <c r="I73" s="87"/>
      <c r="J73" s="123"/>
      <c r="K73" s="140">
        <f>12.99157+1.612607</f>
        <v>14.604177</v>
      </c>
      <c r="L73" s="63">
        <f>0.085267+18.359237</f>
        <v>18.444504000000002</v>
      </c>
      <c r="M73" s="124"/>
      <c r="N73" s="74"/>
      <c r="O73" s="194">
        <f>67.124+4.701623</f>
        <v>71.825622999999993</v>
      </c>
      <c r="P73" s="166">
        <f t="shared" si="9"/>
        <v>39.417400000000015</v>
      </c>
      <c r="Q73" s="16">
        <v>99.164199999999994</v>
      </c>
      <c r="R73" s="8"/>
      <c r="S73" s="110">
        <v>43.573329999999999</v>
      </c>
      <c r="T73" s="103">
        <v>32.230919999999998</v>
      </c>
      <c r="U73" s="103">
        <v>19.055499999999999</v>
      </c>
      <c r="V73" s="104">
        <v>0</v>
      </c>
      <c r="W73" s="29">
        <f t="shared" si="8"/>
        <v>43.721850000000018</v>
      </c>
    </row>
    <row r="74" spans="1:23" x14ac:dyDescent="0.3">
      <c r="A74" s="49">
        <v>21705</v>
      </c>
      <c r="B74" s="49" t="s">
        <v>128</v>
      </c>
      <c r="C74" s="49" t="s">
        <v>5</v>
      </c>
      <c r="D74" s="94">
        <v>13.675840000000001</v>
      </c>
      <c r="E74" s="89" t="s">
        <v>65</v>
      </c>
      <c r="F74" s="84">
        <v>13.675840000000001</v>
      </c>
      <c r="G74" s="88"/>
      <c r="H74" s="87"/>
      <c r="I74" s="87"/>
      <c r="J74" s="123"/>
      <c r="K74" s="140">
        <v>0</v>
      </c>
      <c r="L74" s="63">
        <v>0</v>
      </c>
      <c r="M74" s="129"/>
      <c r="N74" s="76"/>
      <c r="O74" s="194"/>
      <c r="P74" s="166">
        <f t="shared" si="9"/>
        <v>13.675840000000001</v>
      </c>
      <c r="Q74" s="165">
        <v>0</v>
      </c>
      <c r="R74" s="8">
        <v>8.2440850000000001</v>
      </c>
      <c r="S74" s="13">
        <v>0.73708399999999996</v>
      </c>
      <c r="T74" s="103">
        <v>2.6448700000000001</v>
      </c>
      <c r="U74" s="103">
        <v>9.5993750000000002</v>
      </c>
      <c r="V74" s="104">
        <v>0</v>
      </c>
      <c r="W74" s="29">
        <f t="shared" si="8"/>
        <v>0.69451100000000032</v>
      </c>
    </row>
    <row r="75" spans="1:23" x14ac:dyDescent="0.3">
      <c r="A75" s="49">
        <v>21706</v>
      </c>
      <c r="B75" s="49" t="s">
        <v>128</v>
      </c>
      <c r="C75" s="49" t="s">
        <v>5</v>
      </c>
      <c r="D75" s="94">
        <v>57.593679999999999</v>
      </c>
      <c r="E75" s="85" t="s">
        <v>65</v>
      </c>
      <c r="F75" s="86">
        <v>57.593679999999999</v>
      </c>
      <c r="G75" s="89"/>
      <c r="H75" s="84"/>
      <c r="I75" s="84"/>
      <c r="J75" s="119"/>
      <c r="K75" s="140">
        <f>0.175123+14.379928</f>
        <v>14.555050999999999</v>
      </c>
      <c r="L75" s="254">
        <v>0</v>
      </c>
      <c r="M75" s="129"/>
      <c r="N75" s="76"/>
      <c r="O75" s="194"/>
      <c r="P75" s="166">
        <f t="shared" si="9"/>
        <v>57.593679999999999</v>
      </c>
      <c r="Q75" s="165">
        <v>0</v>
      </c>
      <c r="R75" s="8">
        <v>42.523119999999999</v>
      </c>
      <c r="S75" s="110">
        <v>0</v>
      </c>
      <c r="T75" s="103">
        <v>15.23692</v>
      </c>
      <c r="U75" s="103">
        <v>36.848039999999997</v>
      </c>
      <c r="V75" s="104">
        <v>0</v>
      </c>
      <c r="W75" s="29">
        <f t="shared" si="8"/>
        <v>5.5087200000000038</v>
      </c>
    </row>
    <row r="76" spans="1:23" x14ac:dyDescent="0.3">
      <c r="A76" s="49">
        <v>21707</v>
      </c>
      <c r="B76" s="49" t="s">
        <v>128</v>
      </c>
      <c r="C76" s="49" t="s">
        <v>5</v>
      </c>
      <c r="D76" s="94">
        <v>18.737439999999999</v>
      </c>
      <c r="E76" s="85" t="s">
        <v>65</v>
      </c>
      <c r="F76" s="86">
        <v>18.737439999999999</v>
      </c>
      <c r="G76" s="89"/>
      <c r="H76" s="84"/>
      <c r="I76" s="84"/>
      <c r="J76" s="119"/>
      <c r="K76" s="140">
        <v>5.5959880000000002</v>
      </c>
      <c r="L76" s="254">
        <v>0</v>
      </c>
      <c r="M76" s="129"/>
      <c r="N76" s="76"/>
      <c r="O76" s="194"/>
      <c r="P76" s="166">
        <f t="shared" si="9"/>
        <v>18.737439999999999</v>
      </c>
      <c r="Q76" s="16">
        <v>0</v>
      </c>
      <c r="R76" s="8">
        <v>1.313798</v>
      </c>
      <c r="S76" s="13">
        <v>0</v>
      </c>
      <c r="T76" s="103">
        <v>0</v>
      </c>
      <c r="U76" s="103">
        <v>0</v>
      </c>
      <c r="V76" s="104">
        <v>0</v>
      </c>
      <c r="W76" s="29">
        <f t="shared" si="8"/>
        <v>18.737439999999999</v>
      </c>
    </row>
    <row r="77" spans="1:23" x14ac:dyDescent="0.3">
      <c r="A77" s="49">
        <v>21708</v>
      </c>
      <c r="B77" s="49" t="s">
        <v>128</v>
      </c>
      <c r="C77" s="49" t="s">
        <v>5</v>
      </c>
      <c r="D77" s="94">
        <v>10.09169</v>
      </c>
      <c r="E77" s="85" t="s">
        <v>65</v>
      </c>
      <c r="F77" s="86">
        <v>10.09169</v>
      </c>
      <c r="G77" s="89"/>
      <c r="H77" s="84"/>
      <c r="I77" s="84"/>
      <c r="J77" s="119"/>
      <c r="K77" s="177">
        <v>0</v>
      </c>
      <c r="L77" s="254">
        <v>0</v>
      </c>
      <c r="M77" s="129"/>
      <c r="N77" s="76"/>
      <c r="O77" s="194"/>
      <c r="P77" s="166">
        <f t="shared" si="9"/>
        <v>8.7799700000000005</v>
      </c>
      <c r="Q77" s="16">
        <v>1.31172</v>
      </c>
      <c r="R77" s="8">
        <v>1.3966019999999999</v>
      </c>
      <c r="S77" s="110">
        <v>10.09169</v>
      </c>
      <c r="T77" s="103">
        <v>0</v>
      </c>
      <c r="U77" s="103">
        <v>0</v>
      </c>
      <c r="V77" s="104">
        <v>0</v>
      </c>
      <c r="W77" s="29">
        <f t="shared" si="8"/>
        <v>0</v>
      </c>
    </row>
    <row r="78" spans="1:23" x14ac:dyDescent="0.3">
      <c r="A78" s="49">
        <v>21709</v>
      </c>
      <c r="B78" s="49" t="s">
        <v>128</v>
      </c>
      <c r="C78" s="49" t="s">
        <v>5</v>
      </c>
      <c r="D78" s="94">
        <v>5.3616539999999997</v>
      </c>
      <c r="E78" s="85" t="s">
        <v>65</v>
      </c>
      <c r="F78" s="86">
        <v>5.3616539999999997</v>
      </c>
      <c r="G78" s="88"/>
      <c r="H78" s="87"/>
      <c r="I78" s="87"/>
      <c r="J78" s="123"/>
      <c r="K78" s="140">
        <v>0</v>
      </c>
      <c r="L78" s="63">
        <v>0</v>
      </c>
      <c r="M78" s="124"/>
      <c r="N78" s="74"/>
      <c r="O78" s="194"/>
      <c r="P78" s="166">
        <f t="shared" si="9"/>
        <v>5.3616539999999997</v>
      </c>
      <c r="Q78" s="16">
        <v>0</v>
      </c>
      <c r="R78" s="106"/>
      <c r="S78" s="110">
        <v>0</v>
      </c>
      <c r="T78" s="103">
        <v>0</v>
      </c>
      <c r="U78" s="103">
        <v>4.6572449999999996</v>
      </c>
      <c r="V78" s="104">
        <v>0</v>
      </c>
      <c r="W78" s="29">
        <f t="shared" si="8"/>
        <v>0.70440900000000006</v>
      </c>
    </row>
    <row r="79" spans="1:23" x14ac:dyDescent="0.3">
      <c r="A79" s="49">
        <v>21710</v>
      </c>
      <c r="B79" s="49" t="s">
        <v>128</v>
      </c>
      <c r="C79" s="49" t="s">
        <v>5</v>
      </c>
      <c r="D79" s="94">
        <v>26.594840000000001</v>
      </c>
      <c r="E79" s="89" t="s">
        <v>65</v>
      </c>
      <c r="F79" s="84">
        <v>26.594840000000001</v>
      </c>
      <c r="G79" s="83"/>
      <c r="H79" s="87"/>
      <c r="I79" s="87"/>
      <c r="J79" s="123"/>
      <c r="K79" s="140">
        <v>0</v>
      </c>
      <c r="L79" s="63">
        <v>0</v>
      </c>
      <c r="M79" s="124"/>
      <c r="N79" s="74"/>
      <c r="O79" s="194"/>
      <c r="P79" s="166">
        <f t="shared" si="9"/>
        <v>26.594840000000001</v>
      </c>
      <c r="Q79" s="165">
        <v>0</v>
      </c>
      <c r="R79" s="8">
        <v>6.2507549999999998</v>
      </c>
      <c r="S79" s="110">
        <v>7.9322189999999999</v>
      </c>
      <c r="T79" s="103">
        <v>1.3899809999999999</v>
      </c>
      <c r="U79" s="103">
        <v>12.192830000000001</v>
      </c>
      <c r="V79" s="104">
        <v>0</v>
      </c>
      <c r="W79" s="29">
        <f t="shared" si="8"/>
        <v>5.0798099999999984</v>
      </c>
    </row>
    <row r="80" spans="1:23" x14ac:dyDescent="0.3">
      <c r="A80" s="49">
        <v>21712</v>
      </c>
      <c r="B80" s="49" t="s">
        <v>128</v>
      </c>
      <c r="C80" s="49" t="s">
        <v>5</v>
      </c>
      <c r="D80" s="94">
        <v>28.93702</v>
      </c>
      <c r="E80" s="89" t="s">
        <v>65</v>
      </c>
      <c r="F80" s="84">
        <v>4.8339939999999997</v>
      </c>
      <c r="G80" s="83"/>
      <c r="H80" s="87"/>
      <c r="I80" s="87"/>
      <c r="J80" s="123"/>
      <c r="K80" s="140">
        <v>2.8173710000000001</v>
      </c>
      <c r="L80" s="63">
        <v>0</v>
      </c>
      <c r="M80" s="124"/>
      <c r="N80" s="74"/>
      <c r="O80" s="194"/>
      <c r="P80" s="166">
        <f t="shared" si="9"/>
        <v>28.93702</v>
      </c>
      <c r="Q80" s="165">
        <v>0</v>
      </c>
      <c r="R80" s="8"/>
      <c r="S80" s="110">
        <v>0</v>
      </c>
      <c r="T80" s="103">
        <v>0</v>
      </c>
      <c r="U80" s="103">
        <v>0.97466799999999998</v>
      </c>
      <c r="V80" s="104">
        <v>0</v>
      </c>
      <c r="W80" s="29">
        <f t="shared" si="8"/>
        <v>27.962351999999999</v>
      </c>
    </row>
    <row r="81" spans="1:24" x14ac:dyDescent="0.3">
      <c r="A81" s="49">
        <v>21713</v>
      </c>
      <c r="B81" s="49" t="s">
        <v>128</v>
      </c>
      <c r="C81" s="49" t="s">
        <v>5</v>
      </c>
      <c r="D81" s="94">
        <v>43.168089999999999</v>
      </c>
      <c r="E81" s="89" t="s">
        <v>65</v>
      </c>
      <c r="F81" s="84">
        <v>28.93702</v>
      </c>
      <c r="G81" s="85"/>
      <c r="H81" s="86"/>
      <c r="I81" s="87"/>
      <c r="J81" s="123"/>
      <c r="K81" s="140">
        <v>0</v>
      </c>
      <c r="L81" s="63">
        <v>0</v>
      </c>
      <c r="M81" s="124"/>
      <c r="N81" s="74"/>
      <c r="O81" s="194"/>
      <c r="P81" s="166">
        <f t="shared" si="9"/>
        <v>41.742131999999998</v>
      </c>
      <c r="Q81" s="165">
        <v>1.4259580000000001</v>
      </c>
      <c r="R81" s="8"/>
      <c r="S81" s="110">
        <v>1.770527</v>
      </c>
      <c r="T81" s="103">
        <v>1.774E-3</v>
      </c>
      <c r="U81" s="103">
        <v>33.07403</v>
      </c>
      <c r="V81" s="104">
        <v>0</v>
      </c>
      <c r="W81" s="29">
        <f t="shared" si="8"/>
        <v>8.3217590000000001</v>
      </c>
    </row>
    <row r="82" spans="1:24" x14ac:dyDescent="0.3">
      <c r="A82" s="49">
        <v>21714</v>
      </c>
      <c r="B82" s="49" t="s">
        <v>128</v>
      </c>
      <c r="C82" s="49" t="s">
        <v>5</v>
      </c>
      <c r="D82" s="94">
        <v>9.1167029999999993</v>
      </c>
      <c r="E82" s="85" t="s">
        <v>65</v>
      </c>
      <c r="F82" s="86">
        <v>43.168089999999999</v>
      </c>
      <c r="G82" s="89"/>
      <c r="H82" s="84"/>
      <c r="I82" s="84"/>
      <c r="J82" s="119"/>
      <c r="K82" s="140">
        <v>0</v>
      </c>
      <c r="L82" s="254">
        <v>0</v>
      </c>
      <c r="M82" s="124"/>
      <c r="N82" s="74"/>
      <c r="O82" s="194"/>
      <c r="P82" s="166">
        <f t="shared" si="9"/>
        <v>9.1167029999999993</v>
      </c>
      <c r="Q82" s="165">
        <v>0</v>
      </c>
      <c r="R82" s="8"/>
      <c r="S82" s="110">
        <v>0</v>
      </c>
      <c r="T82" s="103">
        <v>1.858865</v>
      </c>
      <c r="U82" s="103">
        <v>5.3379859999999999</v>
      </c>
      <c r="V82" s="104">
        <v>0</v>
      </c>
      <c r="W82" s="29">
        <f t="shared" si="8"/>
        <v>1.9198519999999997</v>
      </c>
    </row>
    <row r="83" spans="1:24" x14ac:dyDescent="0.3">
      <c r="A83" s="49">
        <v>21715</v>
      </c>
      <c r="B83" s="49" t="s">
        <v>128</v>
      </c>
      <c r="C83" s="49" t="s">
        <v>5</v>
      </c>
      <c r="D83" s="94">
        <v>5.5097139999999998</v>
      </c>
      <c r="E83" s="85" t="s">
        <v>65</v>
      </c>
      <c r="F83" s="84">
        <v>5.5097139999999998</v>
      </c>
      <c r="G83" s="83"/>
      <c r="H83" s="87"/>
      <c r="I83" s="87"/>
      <c r="J83" s="123"/>
      <c r="K83" s="140">
        <v>0</v>
      </c>
      <c r="L83" s="63">
        <v>0</v>
      </c>
      <c r="M83" s="129"/>
      <c r="N83" s="76"/>
      <c r="O83" s="194"/>
      <c r="P83" s="166">
        <f t="shared" si="9"/>
        <v>5.5097139999999998</v>
      </c>
      <c r="Q83" s="16">
        <v>0</v>
      </c>
      <c r="R83" s="8"/>
      <c r="S83" s="110">
        <v>0</v>
      </c>
      <c r="T83" s="103">
        <v>4.7417000000000001E-2</v>
      </c>
      <c r="U83" s="103">
        <v>3.8008199999999999</v>
      </c>
      <c r="V83" s="104">
        <v>0</v>
      </c>
      <c r="W83" s="29">
        <f t="shared" si="8"/>
        <v>1.6614770000000001</v>
      </c>
    </row>
    <row r="84" spans="1:24" x14ac:dyDescent="0.3">
      <c r="A84" s="49">
        <v>21716</v>
      </c>
      <c r="B84" s="49" t="s">
        <v>128</v>
      </c>
      <c r="C84" s="49" t="s">
        <v>5</v>
      </c>
      <c r="D84" s="94">
        <v>10.94225</v>
      </c>
      <c r="E84" s="85" t="s">
        <v>65</v>
      </c>
      <c r="F84" s="86">
        <v>10.94225</v>
      </c>
      <c r="G84" s="83"/>
      <c r="H84" s="87"/>
      <c r="I84" s="87"/>
      <c r="J84" s="123"/>
      <c r="K84" s="140">
        <v>0</v>
      </c>
      <c r="L84" s="63">
        <v>0</v>
      </c>
      <c r="M84" s="124"/>
      <c r="N84" s="74"/>
      <c r="O84" s="194"/>
      <c r="P84" s="166">
        <f t="shared" si="9"/>
        <v>10.94225</v>
      </c>
      <c r="Q84" s="165">
        <v>0</v>
      </c>
      <c r="R84" s="8"/>
      <c r="S84" s="110">
        <v>0</v>
      </c>
      <c r="T84" s="103">
        <v>0</v>
      </c>
      <c r="U84" s="103">
        <v>9.0585769999999997</v>
      </c>
      <c r="V84" s="104">
        <v>0</v>
      </c>
      <c r="W84" s="29">
        <f t="shared" si="8"/>
        <v>1.8836729999999999</v>
      </c>
    </row>
    <row r="85" spans="1:24" x14ac:dyDescent="0.3">
      <c r="A85" s="49">
        <v>21718</v>
      </c>
      <c r="B85" s="49" t="s">
        <v>128</v>
      </c>
      <c r="C85" s="49" t="s">
        <v>5</v>
      </c>
      <c r="D85" s="94">
        <v>16.407859999999999</v>
      </c>
      <c r="E85" s="85" t="s">
        <v>65</v>
      </c>
      <c r="F85" s="84">
        <v>16.407859999999999</v>
      </c>
      <c r="G85" s="83"/>
      <c r="H85" s="87"/>
      <c r="I85" s="87"/>
      <c r="J85" s="123"/>
      <c r="K85" s="140">
        <v>0</v>
      </c>
      <c r="L85" s="63">
        <v>0</v>
      </c>
      <c r="M85" s="129"/>
      <c r="N85" s="76"/>
      <c r="O85" s="194"/>
      <c r="P85" s="166">
        <f t="shared" si="9"/>
        <v>0</v>
      </c>
      <c r="Q85" s="16">
        <v>16.407859999999999</v>
      </c>
      <c r="R85" s="8"/>
      <c r="S85" s="110">
        <v>0</v>
      </c>
      <c r="T85" s="103">
        <v>1.4168320000000001</v>
      </c>
      <c r="U85" s="103">
        <v>14.99103</v>
      </c>
      <c r="V85" s="104">
        <v>0</v>
      </c>
      <c r="W85" s="29">
        <f t="shared" si="8"/>
        <v>-2.0000000020559128E-6</v>
      </c>
    </row>
    <row r="86" spans="1:24" x14ac:dyDescent="0.3">
      <c r="A86" s="68" t="s">
        <v>67</v>
      </c>
      <c r="B86" s="68" t="s">
        <v>128</v>
      </c>
      <c r="C86" s="68"/>
      <c r="D86" s="93">
        <f>SUM(D50:D85)</f>
        <v>764.80248899999992</v>
      </c>
      <c r="E86" s="93"/>
      <c r="F86" s="93">
        <f>SUM(F50:F85)</f>
        <v>665.42793399999994</v>
      </c>
      <c r="G86" s="93"/>
      <c r="H86" s="93">
        <f>SUM(H50:H85)</f>
        <v>0</v>
      </c>
      <c r="I86" s="93"/>
      <c r="J86" s="93">
        <f>SUM(J50:J85)</f>
        <v>0</v>
      </c>
      <c r="K86" s="93">
        <f>SUM(K50:K85)</f>
        <v>113.64835099999998</v>
      </c>
      <c r="L86" s="93">
        <f>SUM(L50:L85)</f>
        <v>69.608323000000013</v>
      </c>
      <c r="M86" s="93"/>
      <c r="N86" s="93">
        <f t="shared" ref="N86:W86" si="11">SUM(N50:N85)</f>
        <v>0</v>
      </c>
      <c r="O86" s="93">
        <f t="shared" si="11"/>
        <v>95.066500999999988</v>
      </c>
      <c r="P86" s="93">
        <f t="shared" si="11"/>
        <v>484.01881199999985</v>
      </c>
      <c r="Q86" s="93">
        <f t="shared" si="11"/>
        <v>280.7836769999999</v>
      </c>
      <c r="R86" s="93">
        <f t="shared" si="11"/>
        <v>71.246404999999996</v>
      </c>
      <c r="S86" s="93">
        <f t="shared" si="11"/>
        <v>217.38370700000002</v>
      </c>
      <c r="T86" s="93">
        <f t="shared" si="11"/>
        <v>99.479366999999982</v>
      </c>
      <c r="U86" s="93">
        <f t="shared" si="11"/>
        <v>191.78494899999995</v>
      </c>
      <c r="V86" s="93">
        <f t="shared" si="11"/>
        <v>4.5118119999999999</v>
      </c>
      <c r="W86" s="93">
        <f t="shared" si="11"/>
        <v>251.64265399999999</v>
      </c>
      <c r="X86" s="93"/>
    </row>
    <row r="87" spans="1:24" s="32" customFormat="1" ht="28.8" x14ac:dyDescent="0.3">
      <c r="A87" s="224"/>
      <c r="B87" s="224"/>
      <c r="C87" s="224"/>
      <c r="D87" s="225"/>
      <c r="E87" s="226"/>
      <c r="F87" s="227"/>
      <c r="G87" s="36"/>
      <c r="H87" s="37"/>
      <c r="I87" s="37"/>
      <c r="J87" s="229"/>
      <c r="K87" s="230"/>
      <c r="L87" s="37"/>
      <c r="M87" s="237"/>
      <c r="N87" s="238"/>
      <c r="O87" s="238"/>
      <c r="P87" s="29"/>
      <c r="Q87" s="162"/>
      <c r="R87" s="239"/>
      <c r="S87" s="381" t="s">
        <v>79</v>
      </c>
      <c r="T87" s="382"/>
      <c r="U87" s="382"/>
      <c r="V87" s="97" t="s">
        <v>85</v>
      </c>
      <c r="W87" s="245"/>
      <c r="X87" s="256"/>
    </row>
    <row r="88" spans="1:24" s="32" customFormat="1" ht="28.8" x14ac:dyDescent="0.3">
      <c r="A88" s="260" t="s">
        <v>201</v>
      </c>
      <c r="B88" s="112" t="s">
        <v>191</v>
      </c>
      <c r="C88" s="112" t="s">
        <v>192</v>
      </c>
      <c r="D88" s="258" t="s">
        <v>8</v>
      </c>
      <c r="E88" s="257"/>
      <c r="F88" s="39"/>
      <c r="G88" s="36"/>
      <c r="H88" s="37"/>
      <c r="I88" s="37"/>
      <c r="J88" s="229"/>
      <c r="K88" s="230"/>
      <c r="L88" s="37"/>
      <c r="M88" s="237"/>
      <c r="N88" s="238"/>
      <c r="O88" s="238"/>
      <c r="P88" s="29"/>
      <c r="Q88" s="233"/>
      <c r="R88" s="239"/>
      <c r="S88" s="58" t="s">
        <v>80</v>
      </c>
      <c r="T88" s="58" t="s">
        <v>81</v>
      </c>
      <c r="U88" s="58" t="s">
        <v>82</v>
      </c>
      <c r="V88" s="186" t="s">
        <v>83</v>
      </c>
      <c r="W88" s="58" t="s">
        <v>84</v>
      </c>
      <c r="X88" s="155" t="s">
        <v>130</v>
      </c>
    </row>
    <row r="89" spans="1:24" x14ac:dyDescent="0.3">
      <c r="A89" s="49"/>
      <c r="B89" s="49" t="s">
        <v>193</v>
      </c>
      <c r="C89" s="259">
        <v>42528</v>
      </c>
      <c r="D89" s="94">
        <v>218.7</v>
      </c>
      <c r="E89" s="89" t="s">
        <v>26</v>
      </c>
      <c r="F89" s="84">
        <v>72.232839999999996</v>
      </c>
      <c r="G89" s="89"/>
      <c r="H89" s="84"/>
      <c r="I89" s="84"/>
      <c r="J89" s="119"/>
      <c r="K89" s="140"/>
      <c r="L89" s="131"/>
      <c r="M89" s="124"/>
      <c r="N89" s="74"/>
      <c r="O89" s="194"/>
      <c r="P89" s="6"/>
      <c r="Q89" s="165"/>
      <c r="R89" s="106"/>
      <c r="S89" s="110">
        <v>48.940300000000001</v>
      </c>
      <c r="T89" s="103">
        <v>0</v>
      </c>
      <c r="U89" s="103">
        <v>0</v>
      </c>
      <c r="V89" s="104">
        <v>0</v>
      </c>
      <c r="W89" s="29">
        <f t="shared" ref="W89:W96" si="12">D89-(S89+T89+U89+V89)</f>
        <v>169.75969999999998</v>
      </c>
    </row>
    <row r="90" spans="1:24" x14ac:dyDescent="0.3">
      <c r="A90" s="49"/>
      <c r="B90" s="49" t="s">
        <v>194</v>
      </c>
      <c r="C90" s="259">
        <v>42595</v>
      </c>
      <c r="D90" s="94">
        <v>145.9</v>
      </c>
      <c r="E90" s="89" t="s">
        <v>65</v>
      </c>
      <c r="F90" s="84">
        <v>3.758664</v>
      </c>
      <c r="G90" s="83"/>
      <c r="H90" s="87"/>
      <c r="I90" s="87"/>
      <c r="J90" s="123"/>
      <c r="K90" s="140"/>
      <c r="L90" s="130"/>
      <c r="M90" s="124"/>
      <c r="N90" s="74"/>
      <c r="O90" s="194"/>
      <c r="P90" s="6"/>
      <c r="Q90" s="16"/>
      <c r="R90" s="9"/>
      <c r="S90" s="13">
        <v>20.705580000000001</v>
      </c>
      <c r="T90" s="103">
        <v>0</v>
      </c>
      <c r="U90" s="103">
        <v>15.406864000000001</v>
      </c>
      <c r="V90" s="104">
        <v>0</v>
      </c>
      <c r="W90" s="29">
        <f t="shared" si="12"/>
        <v>109.787556</v>
      </c>
    </row>
    <row r="91" spans="1:24" x14ac:dyDescent="0.3">
      <c r="A91" s="49"/>
      <c r="B91" s="49" t="s">
        <v>195</v>
      </c>
      <c r="C91" s="259">
        <v>42954</v>
      </c>
      <c r="D91" s="94">
        <v>2303.5</v>
      </c>
      <c r="E91" s="89" t="s">
        <v>65</v>
      </c>
      <c r="F91" s="84">
        <v>1782.5940000000001</v>
      </c>
      <c r="G91" s="85"/>
      <c r="H91" s="86"/>
      <c r="I91" s="87"/>
      <c r="J91" s="123"/>
      <c r="K91" s="140"/>
      <c r="L91" s="130"/>
      <c r="M91" s="129"/>
      <c r="N91" s="76"/>
      <c r="O91" s="194"/>
      <c r="P91" s="6"/>
      <c r="Q91" s="16"/>
      <c r="R91" s="8"/>
      <c r="S91" s="110">
        <v>98.34</v>
      </c>
      <c r="T91" s="103">
        <v>458.83170200000001</v>
      </c>
      <c r="U91" s="103">
        <v>529.29338800000005</v>
      </c>
      <c r="V91" s="104">
        <v>9.9227299999999996</v>
      </c>
      <c r="W91" s="29">
        <f t="shared" si="12"/>
        <v>1207.1121799999999</v>
      </c>
    </row>
    <row r="92" spans="1:24" x14ac:dyDescent="0.3">
      <c r="A92" s="49"/>
      <c r="B92" s="49" t="s">
        <v>196</v>
      </c>
      <c r="C92" s="259">
        <v>43325</v>
      </c>
      <c r="D92" s="94">
        <v>11.7</v>
      </c>
      <c r="E92" s="85" t="s">
        <v>65</v>
      </c>
      <c r="F92" s="86">
        <v>11.71672</v>
      </c>
      <c r="G92" s="89"/>
      <c r="H92" s="84"/>
      <c r="I92" s="87"/>
      <c r="J92" s="123"/>
      <c r="K92" s="140"/>
      <c r="L92" s="130"/>
      <c r="M92" s="128"/>
      <c r="N92" s="75"/>
      <c r="O92" s="152"/>
      <c r="P92" s="6"/>
      <c r="Q92" s="165"/>
      <c r="R92" s="9"/>
      <c r="S92" s="110">
        <v>6.6316899999999999</v>
      </c>
      <c r="T92" s="103">
        <v>0</v>
      </c>
      <c r="U92" s="103">
        <v>5.0850270000000002</v>
      </c>
      <c r="V92" s="104">
        <v>0</v>
      </c>
      <c r="W92" s="29">
        <f t="shared" si="12"/>
        <v>-1.6716999999999871E-2</v>
      </c>
    </row>
    <row r="93" spans="1:24" x14ac:dyDescent="0.3">
      <c r="A93" s="49"/>
      <c r="B93" s="49" t="s">
        <v>197</v>
      </c>
      <c r="C93" s="259">
        <v>43329</v>
      </c>
      <c r="D93" s="94">
        <v>121.6</v>
      </c>
      <c r="E93" s="85" t="s">
        <v>65</v>
      </c>
      <c r="F93" s="86">
        <v>121.6152</v>
      </c>
      <c r="G93" s="88"/>
      <c r="H93" s="87"/>
      <c r="I93" s="87"/>
      <c r="J93" s="123"/>
      <c r="K93" s="140"/>
      <c r="L93" s="130"/>
      <c r="M93" s="128"/>
      <c r="N93" s="75"/>
      <c r="O93" s="152"/>
      <c r="P93" s="6"/>
      <c r="Q93" s="16"/>
      <c r="R93" s="106"/>
      <c r="S93" s="13">
        <v>27.568390000000001</v>
      </c>
      <c r="T93" s="103">
        <v>35.310507999999999</v>
      </c>
      <c r="U93" s="103">
        <v>23.886958</v>
      </c>
      <c r="V93" s="104">
        <v>0</v>
      </c>
      <c r="W93" s="29">
        <f t="shared" si="12"/>
        <v>34.834143999999995</v>
      </c>
    </row>
    <row r="94" spans="1:24" x14ac:dyDescent="0.3">
      <c r="A94" s="49"/>
      <c r="B94" s="49" t="s">
        <v>198</v>
      </c>
      <c r="C94" s="259">
        <v>43354</v>
      </c>
      <c r="D94" s="94">
        <v>414.8</v>
      </c>
      <c r="E94" s="85" t="s">
        <v>26</v>
      </c>
      <c r="F94" s="86">
        <v>414.82420000000002</v>
      </c>
      <c r="G94" s="89"/>
      <c r="H94" s="84"/>
      <c r="I94" s="87"/>
      <c r="J94" s="123"/>
      <c r="K94" s="140"/>
      <c r="L94" s="130"/>
      <c r="M94" s="128"/>
      <c r="N94" s="75"/>
      <c r="O94" s="152"/>
      <c r="P94" s="6"/>
      <c r="Q94" s="16"/>
      <c r="R94" s="9"/>
      <c r="S94" s="13">
        <v>11.520799999999999</v>
      </c>
      <c r="T94" s="103">
        <v>19.648976999999999</v>
      </c>
      <c r="U94" s="103">
        <v>62.156381000000003</v>
      </c>
      <c r="V94" s="104">
        <v>9.0879030000000007</v>
      </c>
      <c r="W94" s="29">
        <f t="shared" si="12"/>
        <v>312.38593900000001</v>
      </c>
    </row>
    <row r="95" spans="1:24" x14ac:dyDescent="0.3">
      <c r="A95" s="49"/>
      <c r="B95" s="49" t="s">
        <v>199</v>
      </c>
      <c r="C95" s="259">
        <v>43377</v>
      </c>
      <c r="D95" s="94">
        <v>6.8</v>
      </c>
      <c r="E95" s="85" t="s">
        <v>26</v>
      </c>
      <c r="F95" s="86">
        <v>6.8216770000000002</v>
      </c>
      <c r="G95" s="88"/>
      <c r="H95" s="87"/>
      <c r="I95" s="87"/>
      <c r="J95" s="123"/>
      <c r="K95" s="140"/>
      <c r="L95" s="130"/>
      <c r="M95" s="128"/>
      <c r="N95" s="75"/>
      <c r="O95" s="152"/>
      <c r="P95" s="6"/>
      <c r="Q95" s="16"/>
      <c r="R95" s="8"/>
      <c r="S95" s="13">
        <v>0</v>
      </c>
      <c r="T95" s="103">
        <v>0</v>
      </c>
      <c r="U95" s="103">
        <v>4.4923130000000002</v>
      </c>
      <c r="V95" s="104">
        <v>0</v>
      </c>
      <c r="W95" s="29">
        <f t="shared" si="12"/>
        <v>2.3076869999999996</v>
      </c>
    </row>
    <row r="96" spans="1:24" x14ac:dyDescent="0.3">
      <c r="A96" s="49">
        <v>10945</v>
      </c>
      <c r="B96" s="49" t="s">
        <v>200</v>
      </c>
      <c r="C96" s="259">
        <v>43389</v>
      </c>
      <c r="D96" s="94">
        <v>396.6</v>
      </c>
      <c r="E96" s="85" t="s">
        <v>65</v>
      </c>
      <c r="F96" s="86">
        <v>295.57690000000002</v>
      </c>
      <c r="G96" s="89" t="s">
        <v>26</v>
      </c>
      <c r="H96" s="84">
        <v>98.298169999999999</v>
      </c>
      <c r="I96" s="87"/>
      <c r="J96" s="123"/>
      <c r="K96" s="140"/>
      <c r="L96" s="130"/>
      <c r="M96" s="128"/>
      <c r="N96" s="75"/>
      <c r="O96" s="152"/>
      <c r="P96" s="6"/>
      <c r="Q96" s="16"/>
      <c r="R96" s="8"/>
      <c r="S96" s="13">
        <v>38.825859999999999</v>
      </c>
      <c r="T96" s="103">
        <v>10.852299</v>
      </c>
      <c r="U96" s="103">
        <v>211.48756499999999</v>
      </c>
      <c r="V96" s="104">
        <v>36.699941000000003</v>
      </c>
      <c r="W96" s="29">
        <f t="shared" si="12"/>
        <v>98.734334999999987</v>
      </c>
    </row>
    <row r="97" spans="1:24" x14ac:dyDescent="0.3">
      <c r="A97" s="68" t="s">
        <v>67</v>
      </c>
      <c r="B97" s="68"/>
      <c r="C97" s="68"/>
      <c r="D97" s="93">
        <f>SUM(D89:D96)</f>
        <v>3619.6</v>
      </c>
      <c r="E97" s="93"/>
      <c r="F97" s="93">
        <f>SUM(F89:F96)</f>
        <v>2709.1402010000002</v>
      </c>
      <c r="G97" s="93"/>
      <c r="H97" s="93">
        <f>SUM(H89:H96)</f>
        <v>98.298169999999999</v>
      </c>
      <c r="I97" s="93"/>
      <c r="J97" s="93">
        <f>SUM(J89:J96)</f>
        <v>0</v>
      </c>
      <c r="K97" s="93">
        <f>SUM(K89:K96)</f>
        <v>0</v>
      </c>
      <c r="L97" s="93">
        <f>SUM(L89:L96)</f>
        <v>0</v>
      </c>
      <c r="M97" s="93"/>
      <c r="N97" s="93">
        <f t="shared" ref="N97:W97" si="13">SUM(N89:N96)</f>
        <v>0</v>
      </c>
      <c r="O97" s="93">
        <f t="shared" si="13"/>
        <v>0</v>
      </c>
      <c r="P97" s="93">
        <f t="shared" si="13"/>
        <v>0</v>
      </c>
      <c r="Q97" s="93">
        <f t="shared" si="13"/>
        <v>0</v>
      </c>
      <c r="R97" s="93">
        <f t="shared" si="13"/>
        <v>0</v>
      </c>
      <c r="S97" s="93">
        <f t="shared" si="13"/>
        <v>252.53262000000001</v>
      </c>
      <c r="T97" s="93">
        <f t="shared" si="13"/>
        <v>524.64348599999994</v>
      </c>
      <c r="U97" s="93">
        <f t="shared" si="13"/>
        <v>851.8084960000001</v>
      </c>
      <c r="V97" s="93">
        <f t="shared" si="13"/>
        <v>55.710574000000001</v>
      </c>
      <c r="W97" s="93">
        <f t="shared" si="13"/>
        <v>1934.9048239999997</v>
      </c>
      <c r="X97" s="93"/>
    </row>
    <row r="98" spans="1:24" x14ac:dyDescent="0.3">
      <c r="A98" s="49"/>
      <c r="B98" s="49"/>
      <c r="C98" s="49"/>
      <c r="D98" s="94"/>
      <c r="E98" s="85"/>
      <c r="F98" s="86"/>
      <c r="G98" s="88"/>
      <c r="H98" s="87"/>
      <c r="I98" s="87"/>
      <c r="J98" s="123"/>
      <c r="K98" s="140"/>
      <c r="L98" s="130"/>
      <c r="M98" s="128"/>
      <c r="N98" s="75"/>
      <c r="O98" s="152"/>
      <c r="P98" s="6"/>
      <c r="Q98" s="16"/>
      <c r="R98" s="8"/>
      <c r="S98" s="13"/>
      <c r="T98" s="103"/>
      <c r="U98" s="103"/>
      <c r="V98" s="104"/>
      <c r="W98" s="29"/>
    </row>
    <row r="99" spans="1:24" x14ac:dyDescent="0.3">
      <c r="A99" s="49"/>
      <c r="B99" s="49"/>
      <c r="C99" s="49"/>
      <c r="D99" s="94"/>
      <c r="E99" s="85"/>
      <c r="F99" s="86"/>
      <c r="G99" s="85"/>
      <c r="H99" s="86"/>
      <c r="I99" s="87"/>
      <c r="J99" s="123"/>
      <c r="K99" s="140"/>
      <c r="L99" s="130"/>
      <c r="M99" s="128"/>
      <c r="N99" s="75"/>
      <c r="O99" s="152"/>
      <c r="P99" s="6"/>
      <c r="Q99" s="16"/>
      <c r="R99" s="106"/>
      <c r="S99" s="110"/>
      <c r="T99" s="103"/>
      <c r="U99" s="103"/>
      <c r="V99" s="104"/>
      <c r="W99" s="29"/>
    </row>
    <row r="100" spans="1:24" x14ac:dyDescent="0.3">
      <c r="A100" s="49"/>
      <c r="B100" s="49"/>
      <c r="C100" s="49"/>
      <c r="D100" s="94"/>
      <c r="E100" s="85"/>
      <c r="F100" s="86"/>
      <c r="G100" s="83"/>
      <c r="H100" s="87"/>
      <c r="I100" s="87"/>
      <c r="J100" s="123"/>
      <c r="K100" s="140"/>
      <c r="L100" s="130"/>
      <c r="M100" s="128"/>
      <c r="N100" s="75"/>
      <c r="O100" s="152"/>
      <c r="P100" s="6"/>
      <c r="Q100" s="16"/>
      <c r="R100" s="9"/>
      <c r="S100" s="110"/>
      <c r="T100" s="103"/>
      <c r="U100" s="103"/>
      <c r="V100" s="104"/>
      <c r="W100" s="29"/>
    </row>
    <row r="101" spans="1:24" x14ac:dyDescent="0.3">
      <c r="A101" s="49"/>
      <c r="B101" s="49"/>
      <c r="C101" s="49"/>
      <c r="D101" s="94"/>
      <c r="E101" s="85"/>
      <c r="F101" s="86"/>
      <c r="G101" s="83"/>
      <c r="H101" s="87"/>
      <c r="I101" s="87"/>
      <c r="J101" s="123"/>
      <c r="K101" s="140"/>
      <c r="L101" s="130"/>
      <c r="M101" s="128"/>
      <c r="N101" s="75"/>
      <c r="O101" s="152"/>
      <c r="P101" s="6"/>
      <c r="Q101" s="16"/>
      <c r="R101" s="9"/>
      <c r="S101" s="13"/>
      <c r="T101" s="103"/>
      <c r="U101" s="103"/>
      <c r="V101" s="104"/>
      <c r="W101" s="29"/>
    </row>
    <row r="102" spans="1:24" x14ac:dyDescent="0.3">
      <c r="A102" s="49"/>
      <c r="B102" s="49"/>
      <c r="C102" s="49"/>
      <c r="D102" s="94"/>
      <c r="E102" s="85"/>
      <c r="F102" s="86"/>
      <c r="G102" s="89"/>
      <c r="H102" s="84"/>
      <c r="I102" s="84"/>
      <c r="J102" s="119"/>
      <c r="K102" s="140"/>
      <c r="L102" s="131"/>
      <c r="M102" s="128"/>
      <c r="N102" s="75"/>
      <c r="O102" s="152"/>
      <c r="P102" s="6"/>
      <c r="Q102" s="16"/>
      <c r="R102" s="106"/>
      <c r="S102" s="110"/>
      <c r="T102" s="103"/>
      <c r="U102" s="103"/>
      <c r="V102" s="104"/>
      <c r="W102" s="29"/>
    </row>
    <row r="103" spans="1:24" x14ac:dyDescent="0.3">
      <c r="A103" s="49"/>
      <c r="B103" s="49"/>
      <c r="C103" s="49"/>
      <c r="D103" s="94"/>
      <c r="E103" s="85"/>
      <c r="F103" s="86"/>
      <c r="G103" s="85"/>
      <c r="H103" s="86"/>
      <c r="I103" s="87"/>
      <c r="J103" s="123"/>
      <c r="K103" s="140"/>
      <c r="L103" s="130"/>
      <c r="M103" s="128"/>
      <c r="N103" s="75"/>
      <c r="O103" s="152"/>
      <c r="P103" s="6"/>
      <c r="Q103" s="16"/>
      <c r="R103" s="106"/>
      <c r="S103" s="13"/>
      <c r="T103" s="103"/>
      <c r="U103" s="103"/>
      <c r="V103" s="104"/>
      <c r="W103" s="29"/>
    </row>
    <row r="104" spans="1:24" x14ac:dyDescent="0.3">
      <c r="A104" s="49"/>
      <c r="B104" s="49"/>
      <c r="C104" s="49"/>
      <c r="D104" s="94"/>
      <c r="E104" s="85"/>
      <c r="F104" s="86"/>
      <c r="G104" s="85"/>
      <c r="H104" s="86"/>
      <c r="I104" s="85"/>
      <c r="J104" s="125"/>
      <c r="K104" s="140"/>
      <c r="L104" s="132"/>
      <c r="M104" s="129"/>
      <c r="N104" s="76"/>
      <c r="O104" s="194"/>
      <c r="P104" s="6"/>
      <c r="Q104" s="16"/>
      <c r="R104" s="106"/>
      <c r="S104" s="13"/>
      <c r="T104" s="103"/>
      <c r="U104" s="103"/>
      <c r="V104" s="104"/>
      <c r="W104" s="29"/>
    </row>
    <row r="105" spans="1:24" x14ac:dyDescent="0.3">
      <c r="A105" s="49"/>
      <c r="B105" s="49"/>
      <c r="C105" s="49"/>
      <c r="D105" s="94"/>
      <c r="E105" s="85"/>
      <c r="F105" s="86"/>
      <c r="G105" s="85"/>
      <c r="H105" s="86"/>
      <c r="I105" s="87"/>
      <c r="J105" s="123"/>
      <c r="K105" s="140"/>
      <c r="L105" s="130"/>
      <c r="M105" s="129"/>
      <c r="N105" s="76"/>
      <c r="O105" s="144"/>
      <c r="P105" s="6"/>
      <c r="Q105" s="16"/>
      <c r="R105" s="9"/>
      <c r="S105" s="110"/>
      <c r="T105" s="103"/>
      <c r="U105" s="103"/>
      <c r="V105" s="104"/>
      <c r="W105" s="29"/>
    </row>
    <row r="106" spans="1:24" x14ac:dyDescent="0.3">
      <c r="A106" s="49"/>
      <c r="B106" s="49"/>
      <c r="C106" s="49"/>
      <c r="D106" s="94"/>
      <c r="E106" s="85"/>
      <c r="F106" s="86"/>
      <c r="G106" s="88"/>
      <c r="H106" s="87"/>
      <c r="I106" s="87"/>
      <c r="J106" s="123"/>
      <c r="K106" s="140"/>
      <c r="L106" s="130"/>
      <c r="M106" s="129"/>
      <c r="N106" s="76"/>
      <c r="O106" s="144"/>
      <c r="P106" s="6"/>
      <c r="Q106" s="16"/>
      <c r="R106" s="8"/>
      <c r="S106" s="13"/>
      <c r="T106" s="103"/>
      <c r="U106" s="103"/>
      <c r="V106" s="104"/>
      <c r="W106" s="29"/>
    </row>
    <row r="107" spans="1:24" x14ac:dyDescent="0.3">
      <c r="A107" s="49"/>
      <c r="B107" s="49"/>
      <c r="C107" s="49"/>
      <c r="D107" s="94"/>
      <c r="E107" s="85"/>
      <c r="F107" s="86"/>
      <c r="G107" s="88"/>
      <c r="H107" s="87"/>
      <c r="I107" s="87"/>
      <c r="J107" s="123"/>
      <c r="K107" s="140"/>
      <c r="L107" s="130"/>
      <c r="M107" s="129"/>
      <c r="N107" s="76"/>
      <c r="O107" s="144"/>
      <c r="P107" s="6"/>
      <c r="Q107" s="165"/>
      <c r="R107" s="9"/>
      <c r="S107" s="13"/>
      <c r="T107" s="103"/>
      <c r="U107" s="103"/>
      <c r="V107" s="104"/>
      <c r="W107" s="29"/>
    </row>
    <row r="108" spans="1:24" x14ac:dyDescent="0.3">
      <c r="A108" s="49"/>
      <c r="B108" s="49"/>
      <c r="C108" s="49"/>
      <c r="D108" s="94"/>
      <c r="E108" s="85"/>
      <c r="F108" s="86"/>
      <c r="G108" s="88"/>
      <c r="H108" s="87"/>
      <c r="I108" s="87"/>
      <c r="J108" s="123"/>
      <c r="K108" s="140"/>
      <c r="L108" s="130"/>
      <c r="M108" s="129"/>
      <c r="N108" s="76"/>
      <c r="O108" s="144"/>
      <c r="P108" s="6"/>
      <c r="Q108" s="16"/>
      <c r="R108" s="9"/>
      <c r="S108" s="13"/>
      <c r="T108" s="103"/>
      <c r="U108" s="103"/>
      <c r="V108" s="104"/>
      <c r="W108" s="29"/>
    </row>
    <row r="109" spans="1:24" x14ac:dyDescent="0.3">
      <c r="A109" s="49"/>
      <c r="B109" s="49"/>
      <c r="C109" s="49"/>
      <c r="D109" s="94"/>
      <c r="E109" s="85"/>
      <c r="F109" s="86"/>
      <c r="G109" s="88"/>
      <c r="H109" s="87"/>
      <c r="I109" s="87"/>
      <c r="J109" s="123"/>
      <c r="K109" s="140"/>
      <c r="L109" s="130"/>
      <c r="M109" s="129"/>
      <c r="N109" s="76"/>
      <c r="O109" s="144"/>
      <c r="P109" s="6"/>
      <c r="Q109" s="16"/>
      <c r="R109" s="106"/>
      <c r="S109" s="110"/>
      <c r="T109" s="103"/>
      <c r="U109" s="103"/>
      <c r="V109" s="104"/>
      <c r="W109" s="29"/>
    </row>
    <row r="110" spans="1:24" x14ac:dyDescent="0.3">
      <c r="A110" s="49"/>
      <c r="B110" s="49"/>
      <c r="C110" s="49"/>
      <c r="D110" s="94"/>
      <c r="E110" s="85"/>
      <c r="F110" s="86"/>
      <c r="G110" s="88"/>
      <c r="H110" s="87"/>
      <c r="I110" s="87"/>
      <c r="J110" s="123"/>
      <c r="K110" s="140"/>
      <c r="L110" s="130"/>
      <c r="M110" s="129"/>
      <c r="N110" s="76"/>
      <c r="O110" s="144"/>
      <c r="P110" s="6"/>
      <c r="Q110" s="165"/>
      <c r="R110" s="9"/>
      <c r="S110" s="110"/>
      <c r="T110" s="103"/>
      <c r="U110" s="103"/>
      <c r="V110" s="104"/>
      <c r="W110" s="29"/>
    </row>
    <row r="111" spans="1:24" x14ac:dyDescent="0.3">
      <c r="A111" s="49"/>
      <c r="B111" s="49"/>
      <c r="C111" s="49"/>
      <c r="D111" s="94"/>
      <c r="E111" s="85"/>
      <c r="F111" s="86"/>
      <c r="G111" s="88"/>
      <c r="H111" s="87"/>
      <c r="I111" s="87"/>
      <c r="J111" s="123"/>
      <c r="K111" s="140"/>
      <c r="L111" s="130"/>
      <c r="M111" s="124"/>
      <c r="N111" s="74"/>
      <c r="O111" s="194"/>
      <c r="P111" s="6"/>
      <c r="Q111" s="16"/>
      <c r="R111" s="8"/>
      <c r="S111" s="13"/>
      <c r="T111" s="103"/>
      <c r="U111" s="103"/>
      <c r="V111" s="104"/>
      <c r="W111" s="29"/>
    </row>
    <row r="112" spans="1:24" x14ac:dyDescent="0.3">
      <c r="A112" s="49"/>
      <c r="B112" s="49"/>
      <c r="C112" s="49"/>
      <c r="D112" s="94"/>
      <c r="E112" s="85"/>
      <c r="F112" s="86"/>
      <c r="G112" s="89"/>
      <c r="H112" s="84"/>
      <c r="I112" s="89"/>
      <c r="J112" s="119"/>
      <c r="K112" s="140"/>
      <c r="L112" s="131"/>
      <c r="M112" s="129"/>
      <c r="N112" s="76"/>
      <c r="O112" s="144"/>
      <c r="P112" s="6"/>
      <c r="Q112" s="165"/>
      <c r="R112" s="8"/>
      <c r="S112" s="110"/>
      <c r="T112" s="103"/>
      <c r="U112" s="103"/>
      <c r="V112" s="104"/>
      <c r="W112" s="29"/>
    </row>
    <row r="113" spans="1:23" x14ac:dyDescent="0.3">
      <c r="A113" s="49"/>
      <c r="B113" s="49"/>
      <c r="C113" s="49"/>
      <c r="D113" s="94"/>
      <c r="E113" s="85"/>
      <c r="F113" s="86"/>
      <c r="G113" s="88"/>
      <c r="H113" s="87"/>
      <c r="I113" s="87"/>
      <c r="J113" s="123"/>
      <c r="K113" s="140"/>
      <c r="L113" s="130"/>
      <c r="M113" s="129"/>
      <c r="N113" s="76"/>
      <c r="O113" s="144"/>
      <c r="P113" s="6"/>
      <c r="Q113" s="16"/>
      <c r="R113" s="9"/>
      <c r="S113" s="13"/>
      <c r="T113" s="103"/>
      <c r="U113" s="103"/>
      <c r="V113" s="104"/>
      <c r="W113" s="29"/>
    </row>
    <row r="114" spans="1:23" x14ac:dyDescent="0.3">
      <c r="A114" s="49"/>
      <c r="B114" s="49"/>
      <c r="C114" s="49"/>
      <c r="D114" s="94"/>
      <c r="E114" s="85"/>
      <c r="F114" s="86"/>
      <c r="G114" s="88"/>
      <c r="H114" s="87"/>
      <c r="I114" s="87"/>
      <c r="J114" s="123"/>
      <c r="K114" s="140"/>
      <c r="L114" s="130"/>
      <c r="M114" s="129"/>
      <c r="N114" s="76"/>
      <c r="O114" s="144"/>
      <c r="P114" s="6"/>
      <c r="Q114" s="165"/>
      <c r="R114" s="9"/>
      <c r="S114" s="110"/>
      <c r="T114" s="103"/>
      <c r="U114" s="103"/>
      <c r="V114" s="104"/>
      <c r="W114" s="29"/>
    </row>
    <row r="115" spans="1:23" x14ac:dyDescent="0.3">
      <c r="A115" s="49"/>
      <c r="B115" s="49"/>
      <c r="C115" s="49"/>
      <c r="D115" s="94"/>
      <c r="E115" s="85"/>
      <c r="F115" s="86"/>
      <c r="G115" s="88"/>
      <c r="H115" s="87"/>
      <c r="I115" s="87"/>
      <c r="J115" s="123"/>
      <c r="K115" s="140"/>
      <c r="L115" s="130"/>
      <c r="M115" s="129"/>
      <c r="N115" s="76"/>
      <c r="O115" s="144"/>
      <c r="P115" s="6"/>
      <c r="Q115" s="16"/>
      <c r="R115" s="9"/>
      <c r="S115" s="110"/>
      <c r="T115" s="103"/>
      <c r="U115" s="103"/>
      <c r="V115" s="104"/>
      <c r="W115" s="29"/>
    </row>
    <row r="116" spans="1:23" x14ac:dyDescent="0.3">
      <c r="A116" s="49"/>
      <c r="B116" s="49"/>
      <c r="C116" s="49"/>
      <c r="D116" s="94"/>
      <c r="E116" s="85"/>
      <c r="F116" s="86"/>
      <c r="G116" s="88"/>
      <c r="H116" s="87"/>
      <c r="I116" s="87"/>
      <c r="J116" s="123"/>
      <c r="K116" s="140"/>
      <c r="L116" s="130"/>
      <c r="M116" s="129"/>
      <c r="N116" s="76"/>
      <c r="O116" s="144"/>
      <c r="P116" s="6"/>
      <c r="Q116" s="16"/>
      <c r="R116" s="8"/>
      <c r="S116" s="13"/>
      <c r="T116" s="103"/>
      <c r="U116" s="103"/>
      <c r="V116" s="104"/>
      <c r="W116" s="29"/>
    </row>
    <row r="117" spans="1:23" x14ac:dyDescent="0.3">
      <c r="A117" s="49"/>
      <c r="B117" s="49"/>
      <c r="C117" s="49"/>
      <c r="D117" s="94"/>
      <c r="E117" s="85"/>
      <c r="F117" s="86"/>
      <c r="G117" s="88"/>
      <c r="H117" s="87"/>
      <c r="I117" s="87"/>
      <c r="J117" s="123"/>
      <c r="K117" s="140"/>
      <c r="L117" s="130"/>
      <c r="M117" s="129"/>
      <c r="N117" s="76"/>
      <c r="O117" s="194"/>
      <c r="P117" s="6"/>
      <c r="Q117" s="16"/>
      <c r="R117" s="8"/>
      <c r="S117" s="110"/>
      <c r="T117" s="103"/>
      <c r="U117" s="103"/>
      <c r="V117" s="104"/>
      <c r="W117" s="29"/>
    </row>
    <row r="118" spans="1:23" x14ac:dyDescent="0.3">
      <c r="A118" s="49"/>
      <c r="B118" s="49"/>
      <c r="C118" s="49"/>
      <c r="D118" s="94"/>
      <c r="E118" s="85"/>
      <c r="F118" s="86"/>
      <c r="G118" s="83"/>
      <c r="H118" s="87"/>
      <c r="I118" s="87"/>
      <c r="J118" s="123"/>
      <c r="K118" s="140"/>
      <c r="L118" s="130"/>
      <c r="M118" s="128"/>
      <c r="N118" s="75"/>
      <c r="O118" s="152"/>
      <c r="P118" s="6"/>
      <c r="Q118" s="16"/>
      <c r="R118" s="8"/>
      <c r="S118" s="13"/>
      <c r="T118" s="103"/>
      <c r="U118" s="103"/>
      <c r="V118" s="104"/>
      <c r="W118" s="29"/>
    </row>
    <row r="119" spans="1:23" x14ac:dyDescent="0.3">
      <c r="A119" s="49"/>
      <c r="B119" s="49"/>
      <c r="C119" s="49"/>
      <c r="D119" s="94"/>
      <c r="E119" s="85"/>
      <c r="F119" s="86"/>
      <c r="G119" s="83"/>
      <c r="H119" s="87"/>
      <c r="I119" s="87"/>
      <c r="J119" s="123"/>
      <c r="K119" s="140"/>
      <c r="L119" s="130"/>
      <c r="M119" s="128"/>
      <c r="N119" s="75"/>
      <c r="O119" s="152"/>
      <c r="P119" s="6"/>
      <c r="Q119" s="16"/>
      <c r="R119" s="9"/>
      <c r="S119" s="110"/>
      <c r="T119" s="103"/>
      <c r="U119" s="103"/>
      <c r="V119" s="104"/>
      <c r="W119" s="29"/>
    </row>
    <row r="120" spans="1:23" x14ac:dyDescent="0.3">
      <c r="A120" s="49"/>
      <c r="B120" s="49"/>
      <c r="C120" s="49"/>
      <c r="D120" s="94"/>
      <c r="E120" s="85"/>
      <c r="F120" s="86"/>
      <c r="G120" s="85"/>
      <c r="H120" s="86"/>
      <c r="I120" s="85"/>
      <c r="J120" s="125"/>
      <c r="K120" s="140"/>
      <c r="L120" s="132"/>
      <c r="M120" s="128"/>
      <c r="N120" s="75"/>
      <c r="O120" s="152"/>
      <c r="P120" s="6"/>
      <c r="Q120" s="16"/>
      <c r="R120" s="106"/>
      <c r="S120" s="110"/>
      <c r="T120" s="103"/>
      <c r="U120" s="103"/>
      <c r="V120" s="104"/>
      <c r="W120" s="29"/>
    </row>
    <row r="121" spans="1:23" x14ac:dyDescent="0.3">
      <c r="A121" s="49"/>
      <c r="B121" s="49"/>
      <c r="C121" s="49"/>
      <c r="D121" s="94"/>
      <c r="E121" s="85"/>
      <c r="F121" s="86"/>
      <c r="G121" s="83"/>
      <c r="H121" s="87"/>
      <c r="I121" s="87"/>
      <c r="J121" s="123"/>
      <c r="K121" s="140"/>
      <c r="L121" s="130"/>
      <c r="M121" s="128"/>
      <c r="N121" s="75"/>
      <c r="O121" s="152"/>
      <c r="P121" s="6"/>
      <c r="Q121" s="165"/>
      <c r="R121" s="9"/>
      <c r="S121" s="110"/>
      <c r="T121" s="103"/>
      <c r="U121" s="103"/>
      <c r="V121" s="104"/>
      <c r="W121" s="29"/>
    </row>
    <row r="122" spans="1:23" x14ac:dyDescent="0.3">
      <c r="A122" s="49"/>
      <c r="B122" s="49"/>
      <c r="C122" s="49"/>
      <c r="D122" s="94"/>
      <c r="E122" s="85"/>
      <c r="F122" s="86"/>
      <c r="G122" s="89"/>
      <c r="H122" s="84"/>
      <c r="I122" s="84"/>
      <c r="J122" s="119"/>
      <c r="K122" s="140"/>
      <c r="L122" s="131"/>
      <c r="M122" s="128"/>
      <c r="N122" s="75"/>
      <c r="O122" s="152"/>
      <c r="P122" s="6"/>
      <c r="Q122" s="16"/>
      <c r="R122" s="9"/>
      <c r="S122" s="13"/>
      <c r="T122" s="103"/>
      <c r="U122" s="103"/>
      <c r="V122" s="104"/>
      <c r="W122" s="29"/>
    </row>
    <row r="123" spans="1:23" x14ac:dyDescent="0.3">
      <c r="A123" s="49"/>
      <c r="B123" s="49"/>
      <c r="C123" s="49"/>
      <c r="D123" s="94"/>
      <c r="E123" s="85"/>
      <c r="F123" s="86"/>
      <c r="G123" s="89"/>
      <c r="H123" s="84"/>
      <c r="I123" s="84"/>
      <c r="J123" s="119"/>
      <c r="K123" s="140"/>
      <c r="L123" s="131"/>
      <c r="M123" s="128"/>
      <c r="N123" s="75"/>
      <c r="O123" s="152"/>
      <c r="P123" s="6"/>
      <c r="Q123" s="165"/>
      <c r="R123" s="106"/>
      <c r="S123" s="110"/>
      <c r="T123" s="103"/>
      <c r="U123" s="103"/>
      <c r="V123" s="104"/>
      <c r="W123" s="29"/>
    </row>
    <row r="124" spans="1:23" x14ac:dyDescent="0.3">
      <c r="A124" s="49"/>
      <c r="B124" s="49"/>
      <c r="C124" s="49"/>
      <c r="D124" s="94"/>
      <c r="E124" s="85"/>
      <c r="F124" s="86"/>
      <c r="G124" s="89"/>
      <c r="H124" s="84"/>
      <c r="I124" s="87"/>
      <c r="J124" s="123"/>
      <c r="K124" s="140"/>
      <c r="L124" s="130"/>
      <c r="M124" s="128"/>
      <c r="N124" s="75"/>
      <c r="O124" s="152"/>
      <c r="P124" s="6"/>
      <c r="Q124" s="16"/>
      <c r="R124" s="106"/>
      <c r="S124" s="13"/>
      <c r="T124" s="103"/>
      <c r="U124" s="103"/>
      <c r="V124" s="104"/>
      <c r="W124" s="29"/>
    </row>
    <row r="125" spans="1:23" x14ac:dyDescent="0.3">
      <c r="A125" s="49"/>
      <c r="B125" s="49"/>
      <c r="C125" s="49"/>
      <c r="D125" s="94"/>
      <c r="E125" s="85"/>
      <c r="F125" s="86"/>
      <c r="G125" s="89"/>
      <c r="H125" s="84"/>
      <c r="I125" s="87"/>
      <c r="J125" s="123"/>
      <c r="K125" s="140"/>
      <c r="L125" s="130"/>
      <c r="M125" s="128"/>
      <c r="N125" s="75"/>
      <c r="O125" s="152"/>
      <c r="P125" s="6"/>
      <c r="Q125" s="165"/>
      <c r="R125" s="106"/>
      <c r="S125" s="110"/>
      <c r="T125" s="103"/>
      <c r="U125" s="103"/>
      <c r="V125" s="104"/>
      <c r="W125" s="29"/>
    </row>
    <row r="126" spans="1:23" x14ac:dyDescent="0.3">
      <c r="A126" s="49"/>
      <c r="B126" s="49"/>
      <c r="C126" s="49"/>
      <c r="D126" s="94"/>
      <c r="E126" s="85"/>
      <c r="F126" s="86"/>
      <c r="G126" s="83"/>
      <c r="H126" s="87"/>
      <c r="I126" s="87"/>
      <c r="J126" s="123"/>
      <c r="K126" s="140"/>
      <c r="L126" s="130"/>
      <c r="M126" s="128"/>
      <c r="N126" s="75"/>
      <c r="O126" s="152"/>
      <c r="P126" s="6"/>
      <c r="Q126" s="165"/>
      <c r="R126" s="8"/>
      <c r="S126" s="110"/>
      <c r="T126" s="103"/>
      <c r="U126" s="103"/>
      <c r="V126" s="104"/>
      <c r="W126" s="29"/>
    </row>
    <row r="127" spans="1:23" x14ac:dyDescent="0.3">
      <c r="A127" s="49"/>
      <c r="B127" s="49"/>
      <c r="C127" s="49"/>
      <c r="D127" s="94"/>
      <c r="E127" s="85"/>
      <c r="F127" s="86"/>
      <c r="G127" s="88"/>
      <c r="H127" s="87"/>
      <c r="I127" s="87"/>
      <c r="J127" s="123"/>
      <c r="K127" s="140"/>
      <c r="L127" s="130"/>
      <c r="M127" s="128"/>
      <c r="N127" s="75"/>
      <c r="O127" s="152"/>
      <c r="P127" s="6"/>
      <c r="Q127" s="16"/>
      <c r="R127" s="106"/>
      <c r="S127" s="110"/>
      <c r="T127" s="103"/>
      <c r="U127" s="103"/>
      <c r="V127" s="104"/>
      <c r="W127" s="29"/>
    </row>
    <row r="128" spans="1:23" x14ac:dyDescent="0.3">
      <c r="A128" s="49"/>
      <c r="B128" s="49"/>
      <c r="C128" s="49"/>
      <c r="D128" s="94"/>
      <c r="E128" s="85"/>
      <c r="F128" s="86"/>
      <c r="G128" s="88"/>
      <c r="H128" s="87"/>
      <c r="I128" s="87"/>
      <c r="J128" s="123"/>
      <c r="K128" s="140"/>
      <c r="L128" s="130"/>
      <c r="M128" s="124"/>
      <c r="N128" s="74"/>
      <c r="O128" s="194"/>
      <c r="P128" s="6"/>
      <c r="Q128" s="16"/>
      <c r="R128" s="106"/>
      <c r="S128" s="110"/>
      <c r="T128" s="103"/>
      <c r="U128" s="103"/>
      <c r="V128" s="104"/>
      <c r="W128" s="29"/>
    </row>
    <row r="129" spans="1:23" x14ac:dyDescent="0.3">
      <c r="A129" s="49"/>
      <c r="B129" s="49"/>
      <c r="C129" s="49"/>
      <c r="D129" s="94"/>
      <c r="E129" s="89"/>
      <c r="F129" s="84"/>
      <c r="G129" s="88"/>
      <c r="H129" s="87"/>
      <c r="I129" s="87"/>
      <c r="J129" s="123"/>
      <c r="K129" s="140"/>
      <c r="L129" s="130"/>
      <c r="M129" s="129"/>
      <c r="N129" s="76"/>
      <c r="O129" s="144"/>
      <c r="P129" s="6"/>
      <c r="Q129" s="165"/>
      <c r="R129" s="8"/>
      <c r="S129" s="110"/>
      <c r="T129" s="103"/>
      <c r="U129" s="103"/>
      <c r="V129" s="104"/>
      <c r="W129" s="29"/>
    </row>
    <row r="130" spans="1:23" x14ac:dyDescent="0.3">
      <c r="A130" s="49"/>
      <c r="B130" s="49"/>
      <c r="C130" s="49"/>
      <c r="D130" s="94"/>
      <c r="E130" s="85"/>
      <c r="F130" s="86"/>
      <c r="G130" s="88"/>
      <c r="H130" s="87"/>
      <c r="I130" s="87"/>
      <c r="J130" s="123"/>
      <c r="K130" s="140"/>
      <c r="L130" s="130"/>
      <c r="M130" s="129"/>
      <c r="N130" s="76"/>
      <c r="O130" s="144"/>
      <c r="P130" s="6"/>
      <c r="Q130" s="16"/>
      <c r="R130" s="9"/>
      <c r="S130" s="110"/>
      <c r="T130" s="103"/>
      <c r="U130" s="103"/>
      <c r="V130" s="104"/>
      <c r="W130" s="29"/>
    </row>
    <row r="131" spans="1:23" x14ac:dyDescent="0.3">
      <c r="A131" s="49"/>
      <c r="B131" s="49"/>
      <c r="C131" s="49"/>
      <c r="D131" s="94"/>
      <c r="E131" s="85"/>
      <c r="F131" s="86"/>
      <c r="G131" s="88"/>
      <c r="H131" s="87"/>
      <c r="I131" s="87"/>
      <c r="J131" s="123"/>
      <c r="K131" s="140"/>
      <c r="L131" s="130"/>
      <c r="M131" s="129"/>
      <c r="N131" s="76"/>
      <c r="O131" s="144"/>
      <c r="P131" s="6"/>
      <c r="Q131" s="16"/>
      <c r="R131" s="9"/>
      <c r="S131" s="110"/>
      <c r="T131" s="103"/>
      <c r="U131" s="103"/>
      <c r="V131" s="104"/>
      <c r="W131" s="29"/>
    </row>
    <row r="132" spans="1:23" x14ac:dyDescent="0.3">
      <c r="A132" s="49"/>
      <c r="B132" s="49"/>
      <c r="C132" s="49"/>
      <c r="D132" s="94"/>
      <c r="E132" s="85"/>
      <c r="F132" s="86"/>
      <c r="G132" s="88"/>
      <c r="H132" s="87"/>
      <c r="I132" s="87"/>
      <c r="J132" s="123"/>
      <c r="K132" s="140"/>
      <c r="L132" s="130"/>
      <c r="M132" s="129"/>
      <c r="N132" s="76"/>
      <c r="O132" s="144"/>
      <c r="P132" s="6"/>
      <c r="Q132" s="165"/>
      <c r="R132" s="8"/>
      <c r="S132" s="13"/>
      <c r="T132" s="103"/>
      <c r="U132" s="103"/>
      <c r="V132" s="104"/>
      <c r="W132" s="29"/>
    </row>
    <row r="133" spans="1:23" x14ac:dyDescent="0.3">
      <c r="A133" s="49"/>
      <c r="B133" s="49"/>
      <c r="C133" s="49"/>
      <c r="D133" s="94"/>
      <c r="E133" s="85"/>
      <c r="F133" s="86"/>
      <c r="G133" s="88"/>
      <c r="H133" s="87"/>
      <c r="I133" s="87"/>
      <c r="J133" s="123"/>
      <c r="K133" s="140"/>
      <c r="L133" s="130"/>
      <c r="M133" s="124"/>
      <c r="N133" s="74"/>
      <c r="O133" s="194"/>
      <c r="P133" s="6"/>
      <c r="Q133" s="165"/>
      <c r="R133" s="106"/>
      <c r="S133" s="110"/>
      <c r="T133" s="103"/>
      <c r="U133" s="103"/>
      <c r="V133" s="104"/>
      <c r="W133" s="29"/>
    </row>
    <row r="134" spans="1:23" x14ac:dyDescent="0.3">
      <c r="A134" s="49"/>
      <c r="B134" s="49"/>
      <c r="C134" s="49"/>
      <c r="D134" s="94"/>
      <c r="E134" s="85"/>
      <c r="F134" s="86"/>
      <c r="G134" s="83"/>
      <c r="H134" s="87"/>
      <c r="I134" s="87"/>
      <c r="J134" s="123"/>
      <c r="K134" s="140"/>
      <c r="L134" s="130"/>
      <c r="M134" s="124"/>
      <c r="N134" s="74"/>
      <c r="O134" s="194"/>
      <c r="P134" s="6"/>
      <c r="Q134" s="165"/>
      <c r="R134" s="106"/>
      <c r="S134" s="110"/>
      <c r="T134" s="103"/>
      <c r="U134" s="103"/>
      <c r="V134" s="104"/>
      <c r="W134" s="29"/>
    </row>
    <row r="135" spans="1:23" x14ac:dyDescent="0.3">
      <c r="A135" s="49"/>
      <c r="B135" s="49"/>
      <c r="C135" s="49"/>
      <c r="D135" s="94"/>
      <c r="E135" s="89"/>
      <c r="F135" s="84"/>
      <c r="G135" s="88"/>
      <c r="H135" s="87"/>
      <c r="I135" s="87"/>
      <c r="J135" s="123"/>
      <c r="K135" s="140"/>
      <c r="L135" s="130"/>
      <c r="M135" s="124"/>
      <c r="N135" s="74"/>
      <c r="O135" s="194"/>
      <c r="P135" s="6"/>
      <c r="Q135" s="165"/>
      <c r="R135" s="9"/>
      <c r="S135" s="110"/>
      <c r="T135" s="103"/>
      <c r="U135" s="103"/>
      <c r="V135" s="104"/>
      <c r="W135" s="29"/>
    </row>
    <row r="136" spans="1:23" x14ac:dyDescent="0.3">
      <c r="A136" s="49"/>
      <c r="B136" s="49"/>
      <c r="C136" s="49"/>
      <c r="D136" s="94"/>
      <c r="E136" s="89"/>
      <c r="F136" s="84"/>
      <c r="G136" s="89"/>
      <c r="H136" s="84"/>
      <c r="I136" s="87"/>
      <c r="J136" s="123"/>
      <c r="K136" s="140"/>
      <c r="L136" s="130"/>
      <c r="M136" s="124"/>
      <c r="N136" s="74"/>
      <c r="O136" s="194"/>
      <c r="P136" s="6"/>
      <c r="Q136" s="165"/>
      <c r="R136" s="9"/>
      <c r="S136" s="110"/>
      <c r="T136" s="103"/>
      <c r="U136" s="103"/>
      <c r="V136" s="104"/>
      <c r="W136" s="29"/>
    </row>
    <row r="137" spans="1:23" x14ac:dyDescent="0.3">
      <c r="A137" s="49"/>
      <c r="B137" s="49"/>
      <c r="C137" s="49"/>
      <c r="D137" s="94"/>
      <c r="E137" s="89"/>
      <c r="F137" s="84"/>
      <c r="G137" s="89"/>
      <c r="H137" s="84"/>
      <c r="I137" s="87"/>
      <c r="J137" s="123"/>
      <c r="K137" s="140"/>
      <c r="L137" s="130"/>
      <c r="M137" s="124"/>
      <c r="N137" s="74"/>
      <c r="O137" s="194"/>
      <c r="P137" s="6"/>
      <c r="Q137" s="16"/>
      <c r="R137" s="9"/>
      <c r="S137" s="110"/>
      <c r="T137" s="103"/>
      <c r="U137" s="103"/>
      <c r="V137" s="104"/>
      <c r="W137" s="29"/>
    </row>
    <row r="138" spans="1:23" x14ac:dyDescent="0.3">
      <c r="A138" s="49"/>
      <c r="B138" s="49"/>
      <c r="C138" s="49"/>
      <c r="D138" s="94"/>
      <c r="E138" s="89"/>
      <c r="F138" s="84"/>
      <c r="G138" s="88"/>
      <c r="H138" s="87"/>
      <c r="I138" s="87"/>
      <c r="J138" s="123"/>
      <c r="K138" s="140"/>
      <c r="L138" s="130"/>
      <c r="M138" s="129"/>
      <c r="N138" s="76"/>
      <c r="O138" s="144"/>
      <c r="P138" s="6"/>
      <c r="Q138" s="16"/>
      <c r="R138" s="9"/>
      <c r="S138" s="110"/>
      <c r="T138" s="103"/>
      <c r="U138" s="103"/>
      <c r="V138" s="104"/>
      <c r="W138" s="29"/>
    </row>
    <row r="139" spans="1:23" x14ac:dyDescent="0.3">
      <c r="A139" s="49"/>
      <c r="B139" s="49"/>
      <c r="C139" s="49"/>
      <c r="D139" s="94"/>
      <c r="E139" s="85"/>
      <c r="F139" s="86"/>
      <c r="G139" s="88"/>
      <c r="H139" s="87"/>
      <c r="I139" s="87"/>
      <c r="J139" s="123"/>
      <c r="K139" s="140"/>
      <c r="L139" s="130"/>
      <c r="M139" s="129"/>
      <c r="N139" s="76"/>
      <c r="O139" s="144"/>
      <c r="P139" s="6"/>
      <c r="Q139" s="165"/>
      <c r="R139" s="9"/>
      <c r="S139" s="110"/>
      <c r="T139" s="103"/>
      <c r="U139" s="103"/>
      <c r="V139" s="104"/>
      <c r="W139" s="29"/>
    </row>
    <row r="140" spans="1:23" x14ac:dyDescent="0.3">
      <c r="A140" s="49"/>
      <c r="B140" s="49"/>
      <c r="C140" s="49"/>
      <c r="D140" s="94"/>
      <c r="E140" s="85"/>
      <c r="F140" s="86"/>
      <c r="G140" s="89"/>
      <c r="H140" s="84"/>
      <c r="I140" s="87"/>
      <c r="J140" s="123"/>
      <c r="K140" s="140"/>
      <c r="L140" s="130"/>
      <c r="M140" s="129"/>
      <c r="N140" s="76"/>
      <c r="O140" s="144"/>
      <c r="P140" s="6"/>
      <c r="Q140" s="16"/>
      <c r="R140" s="9"/>
      <c r="S140" s="13"/>
      <c r="T140" s="103"/>
      <c r="U140" s="103"/>
      <c r="V140" s="104"/>
      <c r="W140" s="29"/>
    </row>
    <row r="141" spans="1:23" x14ac:dyDescent="0.3">
      <c r="A141" s="49"/>
      <c r="B141" s="49"/>
      <c r="C141" s="49"/>
      <c r="D141" s="94"/>
      <c r="E141" s="85"/>
      <c r="F141" s="86"/>
      <c r="G141" s="88"/>
      <c r="H141" s="87"/>
      <c r="I141" s="87"/>
      <c r="J141" s="123"/>
      <c r="K141" s="140"/>
      <c r="L141" s="130"/>
      <c r="M141" s="129"/>
      <c r="N141" s="76"/>
      <c r="O141" s="144"/>
      <c r="P141" s="6"/>
      <c r="Q141" s="16"/>
      <c r="R141" s="9"/>
      <c r="S141" s="110"/>
      <c r="T141" s="103"/>
      <c r="U141" s="103"/>
      <c r="V141" s="104"/>
      <c r="W141" s="29"/>
    </row>
    <row r="142" spans="1:23" x14ac:dyDescent="0.3">
      <c r="A142" s="49"/>
      <c r="B142" s="49"/>
      <c r="C142" s="49"/>
      <c r="D142" s="94"/>
      <c r="E142" s="85"/>
      <c r="F142" s="86"/>
      <c r="G142" s="89"/>
      <c r="H142" s="84"/>
      <c r="I142" s="87"/>
      <c r="J142" s="123"/>
      <c r="K142" s="140"/>
      <c r="L142" s="130"/>
      <c r="M142" s="129"/>
      <c r="N142" s="76"/>
      <c r="O142" s="144"/>
      <c r="P142" s="6"/>
      <c r="Q142" s="16"/>
      <c r="R142" s="8"/>
      <c r="S142" s="110"/>
      <c r="T142" s="103"/>
      <c r="U142" s="103"/>
      <c r="V142" s="104"/>
      <c r="W142" s="29"/>
    </row>
    <row r="143" spans="1:23" x14ac:dyDescent="0.3">
      <c r="A143" s="49"/>
      <c r="B143" s="49"/>
      <c r="C143" s="49"/>
      <c r="D143" s="94"/>
      <c r="E143" s="85"/>
      <c r="F143" s="86"/>
      <c r="G143" s="89"/>
      <c r="H143" s="84"/>
      <c r="I143" s="87"/>
      <c r="J143" s="123"/>
      <c r="K143" s="140"/>
      <c r="L143" s="130"/>
      <c r="M143" s="129"/>
      <c r="N143" s="76"/>
      <c r="O143" s="144"/>
      <c r="P143" s="6"/>
      <c r="Q143" s="16"/>
      <c r="R143" s="106"/>
      <c r="S143" s="110"/>
      <c r="T143" s="103"/>
      <c r="U143" s="103"/>
      <c r="V143" s="104"/>
      <c r="W143" s="29"/>
    </row>
    <row r="144" spans="1:23" x14ac:dyDescent="0.3">
      <c r="A144" s="49"/>
      <c r="B144" s="49"/>
      <c r="C144" s="49"/>
      <c r="D144" s="94"/>
      <c r="E144" s="85"/>
      <c r="F144" s="86"/>
      <c r="G144" s="88"/>
      <c r="H144" s="87"/>
      <c r="I144" s="87"/>
      <c r="J144" s="123"/>
      <c r="K144" s="140"/>
      <c r="L144" s="130"/>
      <c r="M144" s="124"/>
      <c r="N144" s="74"/>
      <c r="O144" s="194"/>
      <c r="P144" s="6"/>
      <c r="Q144" s="165"/>
      <c r="R144" s="8"/>
      <c r="S144" s="110"/>
      <c r="T144" s="103"/>
      <c r="U144" s="103"/>
      <c r="V144" s="104"/>
      <c r="W144" s="29"/>
    </row>
    <row r="145" spans="1:23" x14ac:dyDescent="0.3">
      <c r="A145" s="49"/>
      <c r="B145" s="49"/>
      <c r="C145" s="49"/>
      <c r="D145" s="94"/>
      <c r="E145" s="89"/>
      <c r="F145" s="84"/>
      <c r="G145" s="88"/>
      <c r="H145" s="87"/>
      <c r="I145" s="87"/>
      <c r="J145" s="123"/>
      <c r="K145" s="140"/>
      <c r="L145" s="130"/>
      <c r="M145" s="124"/>
      <c r="N145" s="74"/>
      <c r="O145" s="194"/>
      <c r="P145" s="6"/>
      <c r="Q145" s="165"/>
      <c r="R145" s="106"/>
      <c r="S145" s="13"/>
      <c r="T145" s="103"/>
      <c r="U145" s="103"/>
      <c r="V145" s="104"/>
      <c r="W145" s="29"/>
    </row>
    <row r="146" spans="1:23" x14ac:dyDescent="0.3">
      <c r="A146" s="49"/>
      <c r="B146" s="49"/>
      <c r="C146" s="49"/>
      <c r="D146" s="94"/>
      <c r="E146" s="89"/>
      <c r="F146" s="84"/>
      <c r="G146" s="88"/>
      <c r="H146" s="87"/>
      <c r="I146" s="87"/>
      <c r="J146" s="123"/>
      <c r="K146" s="140"/>
      <c r="L146" s="130"/>
      <c r="M146" s="129"/>
      <c r="N146" s="76"/>
      <c r="O146" s="144"/>
      <c r="P146" s="6"/>
      <c r="Q146" s="16"/>
      <c r="R146" s="9"/>
      <c r="S146" s="110"/>
      <c r="T146" s="103"/>
      <c r="U146" s="103"/>
      <c r="V146" s="104"/>
      <c r="W146" s="29"/>
    </row>
    <row r="147" spans="1:23" x14ac:dyDescent="0.3">
      <c r="A147" s="49"/>
      <c r="B147" s="49"/>
      <c r="C147" s="49"/>
      <c r="D147" s="94"/>
      <c r="E147" s="85"/>
      <c r="F147" s="86"/>
      <c r="G147" s="88"/>
      <c r="H147" s="87"/>
      <c r="I147" s="87"/>
      <c r="J147" s="123"/>
      <c r="K147" s="140"/>
      <c r="L147" s="130"/>
      <c r="M147" s="124"/>
      <c r="N147" s="74"/>
      <c r="O147" s="194"/>
      <c r="P147" s="6"/>
      <c r="Q147" s="165"/>
      <c r="R147" s="9"/>
      <c r="S147" s="110"/>
      <c r="T147" s="103"/>
      <c r="U147" s="103"/>
      <c r="V147" s="104"/>
      <c r="W147" s="29"/>
    </row>
    <row r="148" spans="1:23" x14ac:dyDescent="0.3">
      <c r="A148" s="49"/>
      <c r="B148" s="49"/>
      <c r="C148" s="49"/>
      <c r="D148" s="94"/>
      <c r="E148" s="89"/>
      <c r="F148" s="84"/>
      <c r="G148" s="88"/>
      <c r="H148" s="87"/>
      <c r="I148" s="87"/>
      <c r="J148" s="123"/>
      <c r="K148" s="140"/>
      <c r="L148" s="130"/>
      <c r="M148" s="129"/>
      <c r="N148" s="76"/>
      <c r="O148" s="194"/>
      <c r="P148" s="6"/>
      <c r="Q148" s="165"/>
      <c r="R148" s="8"/>
      <c r="S148" s="110"/>
      <c r="T148" s="103"/>
      <c r="U148" s="103"/>
      <c r="V148" s="104"/>
      <c r="W148" s="29"/>
    </row>
    <row r="149" spans="1:23" x14ac:dyDescent="0.3">
      <c r="A149" s="49"/>
      <c r="B149" s="49"/>
      <c r="C149" s="49"/>
      <c r="D149" s="94"/>
      <c r="E149" s="85"/>
      <c r="F149" s="86"/>
      <c r="G149" s="89"/>
      <c r="H149" s="84"/>
      <c r="I149" s="84"/>
      <c r="J149" s="119"/>
      <c r="K149" s="140"/>
      <c r="L149" s="131"/>
      <c r="M149" s="129"/>
      <c r="N149" s="76"/>
      <c r="O149" s="144"/>
      <c r="P149" s="6"/>
      <c r="Q149" s="16"/>
      <c r="R149" s="8"/>
      <c r="S149" s="110"/>
      <c r="T149" s="103"/>
      <c r="U149" s="103"/>
      <c r="V149" s="104"/>
      <c r="W149" s="29"/>
    </row>
    <row r="150" spans="1:23" x14ac:dyDescent="0.3">
      <c r="A150" s="49"/>
      <c r="B150" s="49"/>
      <c r="C150" s="49"/>
      <c r="D150" s="94"/>
      <c r="E150" s="85"/>
      <c r="F150" s="86"/>
      <c r="G150" s="85"/>
      <c r="H150" s="86"/>
      <c r="I150" s="87"/>
      <c r="J150" s="123"/>
      <c r="K150" s="140"/>
      <c r="L150" s="130"/>
      <c r="M150" s="129"/>
      <c r="N150" s="76"/>
      <c r="O150" s="144"/>
      <c r="P150" s="6"/>
      <c r="Q150" s="16"/>
      <c r="R150" s="8"/>
      <c r="S150" s="13"/>
      <c r="T150" s="103"/>
      <c r="U150" s="103"/>
      <c r="V150" s="104"/>
      <c r="W150" s="29"/>
    </row>
    <row r="151" spans="1:23" x14ac:dyDescent="0.3">
      <c r="A151" s="49"/>
      <c r="B151" s="49"/>
      <c r="C151" s="49"/>
      <c r="D151" s="94"/>
      <c r="E151" s="85"/>
      <c r="F151" s="86"/>
      <c r="G151" s="85"/>
      <c r="H151" s="86"/>
      <c r="I151" s="87"/>
      <c r="J151" s="123"/>
      <c r="K151" s="140"/>
      <c r="L151" s="130"/>
      <c r="M151" s="129"/>
      <c r="N151" s="76"/>
      <c r="O151" s="144"/>
      <c r="P151" s="6"/>
      <c r="Q151" s="16"/>
      <c r="R151" s="9"/>
      <c r="S151" s="13"/>
      <c r="T151" s="103"/>
      <c r="U151" s="103"/>
      <c r="V151" s="104"/>
      <c r="W151" s="29"/>
    </row>
    <row r="152" spans="1:23" x14ac:dyDescent="0.3">
      <c r="A152" s="49"/>
      <c r="B152" s="49"/>
      <c r="C152" s="49"/>
      <c r="D152" s="94"/>
      <c r="E152" s="85"/>
      <c r="F152" s="86"/>
      <c r="G152" s="88"/>
      <c r="H152" s="87"/>
      <c r="I152" s="87"/>
      <c r="J152" s="123"/>
      <c r="K152" s="140"/>
      <c r="L152" s="130"/>
      <c r="M152" s="129"/>
      <c r="N152" s="76"/>
      <c r="O152" s="194"/>
      <c r="P152" s="6"/>
      <c r="Q152" s="16"/>
      <c r="R152" s="9"/>
      <c r="S152" s="13"/>
      <c r="T152" s="103"/>
      <c r="U152" s="103"/>
      <c r="V152" s="104"/>
      <c r="W152" s="29"/>
    </row>
    <row r="153" spans="1:23" x14ac:dyDescent="0.3">
      <c r="A153" s="49"/>
      <c r="B153" s="49"/>
      <c r="C153" s="49"/>
      <c r="D153" s="94"/>
      <c r="E153" s="85"/>
      <c r="F153" s="86"/>
      <c r="G153" s="88"/>
      <c r="H153" s="87"/>
      <c r="I153" s="87"/>
      <c r="J153" s="123"/>
      <c r="K153" s="140"/>
      <c r="L153" s="130"/>
      <c r="M153" s="129"/>
      <c r="N153" s="76"/>
      <c r="O153" s="194"/>
      <c r="P153" s="6"/>
      <c r="Q153" s="16"/>
      <c r="R153" s="106"/>
      <c r="S153" s="13"/>
      <c r="T153" s="103"/>
      <c r="U153" s="103"/>
      <c r="V153" s="104"/>
      <c r="W153" s="29"/>
    </row>
    <row r="154" spans="1:23" x14ac:dyDescent="0.3">
      <c r="A154" s="49"/>
      <c r="B154" s="49"/>
      <c r="C154" s="49"/>
      <c r="D154" s="94"/>
      <c r="E154" s="85"/>
      <c r="F154" s="86"/>
      <c r="G154" s="89"/>
      <c r="H154" s="84"/>
      <c r="I154" s="84"/>
      <c r="J154" s="119"/>
      <c r="K154" s="140"/>
      <c r="L154" s="131"/>
      <c r="M154" s="128"/>
      <c r="N154" s="75"/>
      <c r="O154" s="152"/>
      <c r="P154" s="6"/>
      <c r="Q154" s="16"/>
      <c r="R154" s="106"/>
      <c r="S154" s="110"/>
      <c r="T154" s="103"/>
      <c r="U154" s="103"/>
      <c r="V154" s="104"/>
      <c r="W154" s="29"/>
    </row>
    <row r="155" spans="1:23" x14ac:dyDescent="0.3">
      <c r="A155" s="49"/>
      <c r="B155" s="49"/>
      <c r="C155" s="49"/>
      <c r="D155" s="94"/>
      <c r="E155" s="85"/>
      <c r="F155" s="86"/>
      <c r="G155" s="85"/>
      <c r="H155" s="86"/>
      <c r="I155" s="87"/>
      <c r="J155" s="123"/>
      <c r="K155" s="140"/>
      <c r="L155" s="130"/>
      <c r="M155" s="128"/>
      <c r="N155" s="75"/>
      <c r="O155" s="152"/>
      <c r="P155" s="6"/>
      <c r="Q155" s="165"/>
      <c r="R155" s="8"/>
      <c r="S155" s="13"/>
      <c r="T155" s="103"/>
      <c r="U155" s="103"/>
      <c r="V155" s="104"/>
      <c r="W155" s="29"/>
    </row>
    <row r="156" spans="1:23" x14ac:dyDescent="0.3">
      <c r="A156" s="49"/>
      <c r="B156" s="49"/>
      <c r="C156" s="49"/>
      <c r="D156" s="94"/>
      <c r="E156" s="85"/>
      <c r="F156" s="86"/>
      <c r="G156" s="89"/>
      <c r="H156" s="84"/>
      <c r="I156" s="84"/>
      <c r="J156" s="119"/>
      <c r="K156" s="140"/>
      <c r="L156" s="131"/>
      <c r="M156" s="128"/>
      <c r="N156" s="75"/>
      <c r="O156" s="152"/>
      <c r="P156" s="6"/>
      <c r="Q156" s="16"/>
      <c r="R156" s="9"/>
      <c r="S156" s="13"/>
      <c r="T156" s="103"/>
      <c r="U156" s="103"/>
      <c r="V156" s="104"/>
      <c r="W156" s="29"/>
    </row>
    <row r="157" spans="1:23" x14ac:dyDescent="0.3">
      <c r="A157" s="49"/>
      <c r="B157" s="49"/>
      <c r="C157" s="49"/>
      <c r="D157" s="94"/>
      <c r="E157" s="85"/>
      <c r="F157" s="86"/>
      <c r="G157" s="85"/>
      <c r="H157" s="86"/>
      <c r="I157" s="85"/>
      <c r="J157" s="125"/>
      <c r="K157" s="140"/>
      <c r="L157" s="132"/>
      <c r="M157" s="129"/>
      <c r="N157" s="76"/>
      <c r="O157" s="194"/>
      <c r="P157" s="6"/>
      <c r="Q157" s="16"/>
      <c r="R157" s="8"/>
      <c r="S157" s="13"/>
      <c r="T157" s="103"/>
      <c r="U157" s="103"/>
      <c r="V157" s="104"/>
      <c r="W157" s="29"/>
    </row>
    <row r="158" spans="1:23" x14ac:dyDescent="0.3">
      <c r="A158" s="49"/>
      <c r="B158" s="49"/>
      <c r="C158" s="49"/>
      <c r="D158" s="94"/>
      <c r="E158" s="85"/>
      <c r="F158" s="86"/>
      <c r="G158" s="89"/>
      <c r="H158" s="84"/>
      <c r="I158" s="84"/>
      <c r="J158" s="119"/>
      <c r="K158" s="140"/>
      <c r="L158" s="131"/>
      <c r="M158" s="129"/>
      <c r="N158" s="76"/>
      <c r="O158" s="144"/>
      <c r="P158" s="6"/>
      <c r="Q158" s="16"/>
      <c r="R158" s="106"/>
      <c r="S158" s="13"/>
      <c r="T158" s="103"/>
      <c r="U158" s="103"/>
      <c r="V158" s="104"/>
      <c r="W158" s="29"/>
    </row>
    <row r="159" spans="1:23" x14ac:dyDescent="0.3">
      <c r="A159" s="49"/>
      <c r="B159" s="49"/>
      <c r="C159" s="49"/>
      <c r="D159" s="94"/>
      <c r="E159" s="85"/>
      <c r="F159" s="86"/>
      <c r="G159" s="88"/>
      <c r="H159" s="87"/>
      <c r="I159" s="87"/>
      <c r="J159" s="123"/>
      <c r="K159" s="140"/>
      <c r="L159" s="130"/>
      <c r="M159" s="129"/>
      <c r="N159" s="76"/>
      <c r="O159" s="144"/>
      <c r="P159" s="6"/>
      <c r="Q159" s="16"/>
      <c r="R159" s="8"/>
      <c r="S159" s="110"/>
      <c r="T159" s="103"/>
      <c r="U159" s="103"/>
      <c r="V159" s="104"/>
      <c r="W159" s="29"/>
    </row>
    <row r="160" spans="1:23" x14ac:dyDescent="0.3">
      <c r="A160" s="49"/>
      <c r="B160" s="49"/>
      <c r="C160" s="49"/>
      <c r="D160" s="94"/>
      <c r="E160" s="85"/>
      <c r="F160" s="86"/>
      <c r="G160" s="88"/>
      <c r="H160" s="87"/>
      <c r="I160" s="87"/>
      <c r="J160" s="123"/>
      <c r="K160" s="140"/>
      <c r="L160" s="130"/>
      <c r="M160" s="129"/>
      <c r="N160" s="76"/>
      <c r="O160" s="144"/>
      <c r="P160" s="6"/>
      <c r="Q160" s="16"/>
      <c r="R160" s="106"/>
      <c r="S160" s="110"/>
      <c r="T160" s="103"/>
      <c r="U160" s="103"/>
      <c r="V160" s="104"/>
      <c r="W160" s="29"/>
    </row>
    <row r="161" spans="1:23" x14ac:dyDescent="0.3">
      <c r="A161" s="49"/>
      <c r="B161" s="49"/>
      <c r="C161" s="49"/>
      <c r="D161" s="94"/>
      <c r="E161" s="85"/>
      <c r="F161" s="86"/>
      <c r="G161" s="85"/>
      <c r="H161" s="86"/>
      <c r="I161" s="87"/>
      <c r="J161" s="123"/>
      <c r="K161" s="140"/>
      <c r="L161" s="130"/>
      <c r="M161" s="129"/>
      <c r="N161" s="76"/>
      <c r="O161" s="194"/>
      <c r="P161" s="6"/>
      <c r="Q161" s="16"/>
      <c r="R161" s="9"/>
      <c r="S161" s="110"/>
      <c r="T161" s="103"/>
      <c r="U161" s="103"/>
      <c r="V161" s="104"/>
      <c r="W161" s="29"/>
    </row>
    <row r="162" spans="1:23" x14ac:dyDescent="0.3">
      <c r="A162" s="49"/>
      <c r="B162" s="49"/>
      <c r="C162" s="49"/>
      <c r="D162" s="94"/>
      <c r="E162" s="85"/>
      <c r="F162" s="86"/>
      <c r="G162" s="89"/>
      <c r="H162" s="84"/>
      <c r="I162" s="84"/>
      <c r="J162" s="119"/>
      <c r="K162" s="140"/>
      <c r="L162" s="131"/>
      <c r="M162" s="129"/>
      <c r="N162" s="76"/>
      <c r="O162" s="194"/>
      <c r="P162" s="6"/>
      <c r="Q162" s="165"/>
      <c r="R162" s="106"/>
      <c r="S162" s="13"/>
      <c r="T162" s="103"/>
      <c r="U162" s="103"/>
      <c r="V162" s="104"/>
      <c r="W162" s="29"/>
    </row>
    <row r="163" spans="1:23" x14ac:dyDescent="0.3">
      <c r="A163" s="49"/>
      <c r="B163" s="49"/>
      <c r="C163" s="49"/>
      <c r="D163" s="94"/>
      <c r="E163" s="85"/>
      <c r="F163" s="86"/>
      <c r="G163" s="88"/>
      <c r="H163" s="87"/>
      <c r="I163" s="87"/>
      <c r="J163" s="123"/>
      <c r="K163" s="140"/>
      <c r="L163" s="130"/>
      <c r="M163" s="129"/>
      <c r="N163" s="76"/>
      <c r="O163" s="144"/>
      <c r="P163" s="6"/>
      <c r="Q163" s="16"/>
      <c r="R163" s="8"/>
      <c r="S163" s="110"/>
      <c r="T163" s="103"/>
      <c r="U163" s="103"/>
      <c r="V163" s="104"/>
      <c r="W163" s="29"/>
    </row>
    <row r="164" spans="1:23" x14ac:dyDescent="0.3">
      <c r="A164" s="49"/>
      <c r="B164" s="49"/>
      <c r="C164" s="49"/>
      <c r="D164" s="94"/>
      <c r="E164" s="85"/>
      <c r="F164" s="86"/>
      <c r="G164" s="88"/>
      <c r="H164" s="87"/>
      <c r="I164" s="87"/>
      <c r="J164" s="123"/>
      <c r="K164" s="140"/>
      <c r="L164" s="130"/>
      <c r="M164" s="129"/>
      <c r="N164" s="76"/>
      <c r="O164" s="144"/>
      <c r="P164" s="6"/>
      <c r="Q164" s="16"/>
      <c r="R164" s="106"/>
      <c r="S164" s="13"/>
      <c r="T164" s="103"/>
      <c r="U164" s="103"/>
      <c r="V164" s="104"/>
      <c r="W164" s="29"/>
    </row>
    <row r="165" spans="1:23" x14ac:dyDescent="0.3">
      <c r="A165" s="49"/>
      <c r="B165" s="49"/>
      <c r="C165" s="49"/>
      <c r="D165" s="94"/>
      <c r="E165" s="85"/>
      <c r="F165" s="86"/>
      <c r="G165" s="88"/>
      <c r="H165" s="87"/>
      <c r="I165" s="87"/>
      <c r="J165" s="123"/>
      <c r="K165" s="140"/>
      <c r="L165" s="130"/>
      <c r="M165" s="129"/>
      <c r="N165" s="76"/>
      <c r="O165" s="194"/>
      <c r="P165" s="6"/>
      <c r="Q165" s="165"/>
      <c r="R165" s="106"/>
      <c r="S165" s="110"/>
      <c r="T165" s="103"/>
      <c r="U165" s="103"/>
      <c r="V165" s="104"/>
      <c r="W165" s="29"/>
    </row>
    <row r="166" spans="1:23" x14ac:dyDescent="0.3">
      <c r="A166" s="49"/>
      <c r="B166" s="49"/>
      <c r="C166" s="49"/>
      <c r="D166" s="94"/>
      <c r="E166" s="85"/>
      <c r="F166" s="86"/>
      <c r="G166" s="88"/>
      <c r="H166" s="87"/>
      <c r="I166" s="87"/>
      <c r="J166" s="123"/>
      <c r="K166" s="140"/>
      <c r="L166" s="130"/>
      <c r="M166" s="129"/>
      <c r="N166" s="76"/>
      <c r="O166" s="144"/>
      <c r="P166" s="6"/>
      <c r="Q166" s="165"/>
      <c r="R166" s="9"/>
      <c r="S166" s="110"/>
      <c r="T166" s="103"/>
      <c r="U166" s="103"/>
      <c r="V166" s="104"/>
      <c r="W166" s="29"/>
    </row>
    <row r="167" spans="1:23" x14ac:dyDescent="0.3">
      <c r="A167" s="49"/>
      <c r="B167" s="49"/>
      <c r="C167" s="49"/>
      <c r="D167" s="94"/>
      <c r="E167" s="85"/>
      <c r="F167" s="86"/>
      <c r="G167" s="88"/>
      <c r="H167" s="87"/>
      <c r="I167" s="87"/>
      <c r="J167" s="123"/>
      <c r="K167" s="140"/>
      <c r="L167" s="130"/>
      <c r="M167" s="129"/>
      <c r="N167" s="76"/>
      <c r="O167" s="144"/>
      <c r="P167" s="6"/>
      <c r="Q167" s="16"/>
      <c r="R167" s="9"/>
      <c r="S167" s="13"/>
      <c r="T167" s="103"/>
      <c r="U167" s="103"/>
      <c r="V167" s="104"/>
      <c r="W167" s="29"/>
    </row>
    <row r="168" spans="1:23" x14ac:dyDescent="0.3">
      <c r="A168" s="49"/>
      <c r="B168" s="49"/>
      <c r="C168" s="49"/>
      <c r="D168" s="94"/>
      <c r="E168" s="85"/>
      <c r="F168" s="86"/>
      <c r="G168" s="88"/>
      <c r="H168" s="87"/>
      <c r="I168" s="87"/>
      <c r="J168" s="123"/>
      <c r="K168" s="140"/>
      <c r="L168" s="130"/>
      <c r="M168" s="129"/>
      <c r="N168" s="76"/>
      <c r="O168" s="144"/>
      <c r="P168" s="6"/>
      <c r="Q168" s="16"/>
      <c r="R168" s="9"/>
      <c r="S168" s="110"/>
      <c r="T168" s="103"/>
      <c r="U168" s="103"/>
      <c r="V168" s="104"/>
      <c r="W168" s="29"/>
    </row>
    <row r="169" spans="1:23" x14ac:dyDescent="0.3">
      <c r="A169" s="49"/>
      <c r="B169" s="49"/>
      <c r="C169" s="49"/>
      <c r="D169" s="94"/>
      <c r="E169" s="85"/>
      <c r="F169" s="86"/>
      <c r="G169" s="89"/>
      <c r="H169" s="84"/>
      <c r="I169" s="84"/>
      <c r="J169" s="119"/>
      <c r="K169" s="140"/>
      <c r="L169" s="131"/>
      <c r="M169" s="129"/>
      <c r="N169" s="76"/>
      <c r="O169" s="144"/>
      <c r="P169" s="6"/>
      <c r="Q169" s="16"/>
      <c r="R169" s="9"/>
      <c r="S169" s="13"/>
      <c r="T169" s="103"/>
      <c r="U169" s="103"/>
      <c r="V169" s="104"/>
      <c r="W169" s="29"/>
    </row>
    <row r="170" spans="1:23" x14ac:dyDescent="0.3">
      <c r="A170" s="49"/>
      <c r="B170" s="49"/>
      <c r="C170" s="49"/>
      <c r="D170" s="94"/>
      <c r="E170" s="85"/>
      <c r="F170" s="86"/>
      <c r="G170" s="88"/>
      <c r="H170" s="87"/>
      <c r="I170" s="87"/>
      <c r="J170" s="123"/>
      <c r="K170" s="140"/>
      <c r="L170" s="130"/>
      <c r="M170" s="129"/>
      <c r="N170" s="76"/>
      <c r="O170" s="144"/>
      <c r="P170" s="6"/>
      <c r="Q170" s="16"/>
      <c r="R170" s="9"/>
      <c r="S170" s="13"/>
      <c r="T170" s="103"/>
      <c r="U170" s="103"/>
      <c r="V170" s="104"/>
      <c r="W170" s="29"/>
    </row>
    <row r="171" spans="1:23" x14ac:dyDescent="0.3">
      <c r="A171" s="49"/>
      <c r="B171" s="49"/>
      <c r="C171" s="49"/>
      <c r="D171" s="94"/>
      <c r="E171" s="85"/>
      <c r="F171" s="86"/>
      <c r="G171" s="88"/>
      <c r="H171" s="87"/>
      <c r="I171" s="87"/>
      <c r="J171" s="123"/>
      <c r="K171" s="140"/>
      <c r="L171" s="130"/>
      <c r="M171" s="129"/>
      <c r="N171" s="76"/>
      <c r="O171" s="144"/>
      <c r="P171" s="6"/>
      <c r="Q171" s="16"/>
      <c r="R171" s="106"/>
      <c r="S171" s="110"/>
      <c r="T171" s="103"/>
      <c r="U171" s="103"/>
      <c r="V171" s="104"/>
      <c r="W171" s="29"/>
    </row>
    <row r="172" spans="1:23" x14ac:dyDescent="0.3">
      <c r="A172" s="49"/>
      <c r="B172" s="49"/>
      <c r="C172" s="49"/>
      <c r="D172" s="94"/>
      <c r="E172" s="89"/>
      <c r="F172" s="84"/>
      <c r="G172" s="89"/>
      <c r="H172" s="84"/>
      <c r="I172" s="84"/>
      <c r="J172" s="119"/>
      <c r="K172" s="140"/>
      <c r="L172" s="131"/>
      <c r="M172" s="129"/>
      <c r="N172" s="76"/>
      <c r="O172" s="144"/>
      <c r="P172" s="6"/>
      <c r="Q172" s="165"/>
      <c r="R172" s="8"/>
      <c r="S172" s="13"/>
      <c r="T172" s="103"/>
      <c r="U172" s="103"/>
      <c r="V172" s="104"/>
      <c r="W172" s="29"/>
    </row>
    <row r="173" spans="1:23" x14ac:dyDescent="0.3">
      <c r="A173" s="49"/>
      <c r="B173" s="49"/>
      <c r="C173" s="49"/>
      <c r="D173" s="94"/>
      <c r="E173" s="85"/>
      <c r="F173" s="86"/>
      <c r="G173" s="88"/>
      <c r="H173" s="87"/>
      <c r="I173" s="87"/>
      <c r="J173" s="123"/>
      <c r="K173" s="140"/>
      <c r="L173" s="130"/>
      <c r="M173" s="129"/>
      <c r="N173" s="76"/>
      <c r="O173" s="144"/>
      <c r="P173" s="6"/>
      <c r="Q173" s="16"/>
      <c r="R173" s="9"/>
      <c r="S173" s="13"/>
      <c r="T173" s="103"/>
      <c r="U173" s="103"/>
      <c r="V173" s="104"/>
      <c r="W173" s="29"/>
    </row>
    <row r="174" spans="1:23" x14ac:dyDescent="0.3">
      <c r="A174" s="49"/>
      <c r="B174" s="49"/>
      <c r="C174" s="49"/>
      <c r="D174" s="94"/>
      <c r="E174" s="85"/>
      <c r="F174" s="86"/>
      <c r="G174" s="85"/>
      <c r="H174" s="86"/>
      <c r="I174" s="87"/>
      <c r="J174" s="123"/>
      <c r="K174" s="140"/>
      <c r="L174" s="130"/>
      <c r="M174" s="129"/>
      <c r="N174" s="76"/>
      <c r="O174" s="194"/>
      <c r="P174" s="6"/>
      <c r="Q174" s="165"/>
      <c r="R174" s="8"/>
      <c r="S174" s="110"/>
      <c r="T174" s="103"/>
      <c r="U174" s="103"/>
      <c r="V174" s="104"/>
      <c r="W174" s="29"/>
    </row>
    <row r="175" spans="1:23" x14ac:dyDescent="0.3">
      <c r="A175" s="49"/>
      <c r="B175" s="49"/>
      <c r="C175" s="49"/>
      <c r="D175" s="94"/>
      <c r="E175" s="85"/>
      <c r="F175" s="86"/>
      <c r="G175" s="88"/>
      <c r="H175" s="87"/>
      <c r="I175" s="87"/>
      <c r="J175" s="123"/>
      <c r="K175" s="140"/>
      <c r="L175" s="130"/>
      <c r="M175" s="129"/>
      <c r="N175" s="76"/>
      <c r="O175" s="144"/>
      <c r="P175" s="6"/>
      <c r="Q175" s="16"/>
      <c r="R175" s="9"/>
      <c r="S175" s="13"/>
      <c r="T175" s="103"/>
      <c r="U175" s="103"/>
      <c r="V175" s="104"/>
      <c r="W175" s="29"/>
    </row>
    <row r="176" spans="1:23" x14ac:dyDescent="0.3">
      <c r="A176" s="49"/>
      <c r="B176" s="49"/>
      <c r="C176" s="49"/>
      <c r="D176" s="94"/>
      <c r="E176" s="85"/>
      <c r="F176" s="86"/>
      <c r="G176" s="89"/>
      <c r="H176" s="84"/>
      <c r="I176" s="84"/>
      <c r="J176" s="119"/>
      <c r="K176" s="140"/>
      <c r="L176" s="131"/>
      <c r="M176" s="129"/>
      <c r="N176" s="76"/>
      <c r="O176" s="144"/>
      <c r="P176" s="6"/>
      <c r="Q176" s="165"/>
      <c r="R176" s="8"/>
      <c r="S176" s="110"/>
      <c r="T176" s="103"/>
      <c r="U176" s="103"/>
      <c r="V176" s="104"/>
      <c r="W176" s="29"/>
    </row>
    <row r="177" spans="1:23" x14ac:dyDescent="0.3">
      <c r="A177" s="49"/>
      <c r="B177" s="49"/>
      <c r="C177" s="49"/>
      <c r="D177" s="94"/>
      <c r="E177" s="85"/>
      <c r="F177" s="86"/>
      <c r="G177" s="89"/>
      <c r="H177" s="84"/>
      <c r="I177" s="84"/>
      <c r="J177" s="119"/>
      <c r="K177" s="140"/>
      <c r="L177" s="131"/>
      <c r="M177" s="129"/>
      <c r="N177" s="76"/>
      <c r="O177" s="144"/>
      <c r="P177" s="6"/>
      <c r="Q177" s="16"/>
      <c r="R177" s="106"/>
      <c r="S177" s="13"/>
      <c r="T177" s="103"/>
      <c r="U177" s="103"/>
      <c r="V177" s="104"/>
      <c r="W177" s="29"/>
    </row>
    <row r="178" spans="1:23" x14ac:dyDescent="0.3">
      <c r="A178" s="49"/>
      <c r="B178" s="49"/>
      <c r="C178" s="49"/>
      <c r="D178" s="94"/>
      <c r="E178" s="85"/>
      <c r="F178" s="86"/>
      <c r="G178" s="88"/>
      <c r="H178" s="87"/>
      <c r="I178" s="87"/>
      <c r="J178" s="123"/>
      <c r="K178" s="140"/>
      <c r="L178" s="130"/>
      <c r="M178" s="124"/>
      <c r="N178" s="74"/>
      <c r="O178" s="194"/>
      <c r="P178" s="6"/>
      <c r="Q178" s="16"/>
      <c r="R178" s="9"/>
      <c r="S178" s="13"/>
      <c r="T178" s="103"/>
      <c r="U178" s="103"/>
      <c r="V178" s="104"/>
      <c r="W178" s="29"/>
    </row>
    <row r="179" spans="1:23" x14ac:dyDescent="0.3">
      <c r="A179" s="49"/>
      <c r="B179" s="49"/>
      <c r="C179" s="49"/>
      <c r="D179" s="94"/>
      <c r="E179" s="89"/>
      <c r="F179" s="84"/>
      <c r="G179" s="89"/>
      <c r="H179" s="84"/>
      <c r="I179" s="84"/>
      <c r="J179" s="119"/>
      <c r="K179" s="140"/>
      <c r="L179" s="131"/>
      <c r="M179" s="129"/>
      <c r="N179" s="76"/>
      <c r="O179" s="194"/>
      <c r="P179" s="6"/>
      <c r="Q179" s="16"/>
      <c r="R179" s="9"/>
      <c r="S179" s="110"/>
      <c r="T179" s="103"/>
      <c r="U179" s="103"/>
      <c r="V179" s="104"/>
      <c r="W179" s="29"/>
    </row>
    <row r="180" spans="1:23" x14ac:dyDescent="0.3">
      <c r="A180" s="49"/>
      <c r="B180" s="49"/>
      <c r="C180" s="49"/>
      <c r="D180" s="94"/>
      <c r="E180" s="85"/>
      <c r="F180" s="86"/>
      <c r="G180" s="88"/>
      <c r="H180" s="87"/>
      <c r="I180" s="87"/>
      <c r="J180" s="123"/>
      <c r="K180" s="140"/>
      <c r="L180" s="130"/>
      <c r="M180" s="128"/>
      <c r="N180" s="75"/>
      <c r="O180" s="152"/>
      <c r="P180" s="6"/>
      <c r="Q180" s="16"/>
      <c r="R180" s="9"/>
      <c r="S180" s="110"/>
      <c r="T180" s="103"/>
      <c r="U180" s="103"/>
      <c r="V180" s="104"/>
      <c r="W180" s="29"/>
    </row>
    <row r="181" spans="1:23" x14ac:dyDescent="0.3">
      <c r="A181" s="49"/>
      <c r="B181" s="49"/>
      <c r="C181" s="49"/>
      <c r="D181" s="94"/>
      <c r="E181" s="85"/>
      <c r="F181" s="86"/>
      <c r="G181" s="85"/>
      <c r="H181" s="86"/>
      <c r="I181" s="87"/>
      <c r="J181" s="123"/>
      <c r="K181" s="140"/>
      <c r="L181" s="130"/>
      <c r="M181" s="128"/>
      <c r="N181" s="75"/>
      <c r="O181" s="152"/>
      <c r="P181" s="6"/>
      <c r="Q181" s="16"/>
      <c r="R181" s="106"/>
      <c r="S181" s="13"/>
      <c r="T181" s="103"/>
      <c r="U181" s="103"/>
      <c r="V181" s="104"/>
      <c r="W181" s="29"/>
    </row>
    <row r="182" spans="1:23" x14ac:dyDescent="0.3">
      <c r="A182" s="49"/>
      <c r="B182" s="49"/>
      <c r="C182" s="49"/>
      <c r="D182" s="94"/>
      <c r="E182" s="85"/>
      <c r="F182" s="86"/>
      <c r="G182" s="88"/>
      <c r="H182" s="87"/>
      <c r="I182" s="87"/>
      <c r="J182" s="123"/>
      <c r="K182" s="140"/>
      <c r="L182" s="130"/>
      <c r="M182" s="128"/>
      <c r="N182" s="75"/>
      <c r="O182" s="152"/>
      <c r="P182" s="6"/>
      <c r="Q182" s="165"/>
      <c r="R182" s="106"/>
      <c r="S182" s="13"/>
      <c r="T182" s="103"/>
      <c r="U182" s="103"/>
      <c r="V182" s="104"/>
      <c r="W182" s="29"/>
    </row>
    <row r="183" spans="1:23" x14ac:dyDescent="0.3">
      <c r="A183" s="49"/>
      <c r="B183" s="49"/>
      <c r="C183" s="49"/>
      <c r="D183" s="94"/>
      <c r="E183" s="85"/>
      <c r="F183" s="86"/>
      <c r="G183" s="88"/>
      <c r="H183" s="87"/>
      <c r="I183" s="87"/>
      <c r="J183" s="123"/>
      <c r="K183" s="140"/>
      <c r="L183" s="130"/>
      <c r="M183" s="128"/>
      <c r="N183" s="75"/>
      <c r="O183" s="152"/>
      <c r="P183" s="6"/>
      <c r="Q183" s="16"/>
      <c r="R183" s="9"/>
      <c r="S183" s="13"/>
      <c r="T183" s="103"/>
      <c r="U183" s="103"/>
      <c r="V183" s="104"/>
      <c r="W183" s="29"/>
    </row>
    <row r="184" spans="1:23" x14ac:dyDescent="0.3">
      <c r="A184" s="49"/>
      <c r="B184" s="49"/>
      <c r="C184" s="49"/>
      <c r="D184" s="94"/>
      <c r="E184" s="85"/>
      <c r="F184" s="86"/>
      <c r="G184" s="88"/>
      <c r="H184" s="87"/>
      <c r="I184" s="87"/>
      <c r="J184" s="123"/>
      <c r="K184" s="140"/>
      <c r="L184" s="130"/>
      <c r="M184" s="124"/>
      <c r="N184" s="74"/>
      <c r="O184" s="194"/>
      <c r="P184" s="6"/>
      <c r="Q184" s="16"/>
      <c r="R184" s="8"/>
      <c r="S184" s="13"/>
      <c r="T184" s="103"/>
      <c r="U184" s="103"/>
      <c r="V184" s="104"/>
      <c r="W184" s="29"/>
    </row>
    <row r="185" spans="1:23" x14ac:dyDescent="0.3">
      <c r="A185" s="49"/>
      <c r="B185" s="49"/>
      <c r="C185" s="49"/>
      <c r="D185" s="94"/>
      <c r="E185" s="89"/>
      <c r="F185" s="84"/>
      <c r="G185" s="89"/>
      <c r="H185" s="84"/>
      <c r="I185" s="84"/>
      <c r="J185" s="119"/>
      <c r="K185" s="140"/>
      <c r="L185" s="131"/>
      <c r="M185" s="129"/>
      <c r="N185" s="76"/>
      <c r="O185" s="144"/>
      <c r="P185" s="6"/>
      <c r="Q185" s="16"/>
      <c r="R185" s="106"/>
      <c r="S185" s="110"/>
      <c r="T185" s="103"/>
      <c r="U185" s="103"/>
      <c r="V185" s="104"/>
      <c r="W185" s="29"/>
    </row>
    <row r="186" spans="1:23" x14ac:dyDescent="0.3">
      <c r="A186" s="49"/>
      <c r="B186" s="49"/>
      <c r="C186" s="49"/>
      <c r="D186" s="94"/>
      <c r="E186" s="85"/>
      <c r="F186" s="86"/>
      <c r="G186" s="88"/>
      <c r="H186" s="87"/>
      <c r="I186" s="87"/>
      <c r="J186" s="123"/>
      <c r="K186" s="140"/>
      <c r="L186" s="130"/>
      <c r="M186" s="124"/>
      <c r="N186" s="74"/>
      <c r="O186" s="194"/>
      <c r="P186" s="6"/>
      <c r="Q186" s="16"/>
      <c r="R186" s="8"/>
      <c r="S186" s="13"/>
      <c r="T186" s="103"/>
      <c r="U186" s="103"/>
      <c r="V186" s="104"/>
      <c r="W186" s="29"/>
    </row>
    <row r="187" spans="1:23" x14ac:dyDescent="0.3">
      <c r="A187" s="49"/>
      <c r="B187" s="49"/>
      <c r="C187" s="49"/>
      <c r="D187" s="94"/>
      <c r="E187" s="89"/>
      <c r="F187" s="84"/>
      <c r="G187" s="88"/>
      <c r="H187" s="87"/>
      <c r="I187" s="87"/>
      <c r="J187" s="123"/>
      <c r="K187" s="140"/>
      <c r="L187" s="130"/>
      <c r="M187" s="124"/>
      <c r="N187" s="74"/>
      <c r="O187" s="194"/>
      <c r="P187" s="6"/>
      <c r="Q187" s="16"/>
      <c r="R187" s="106"/>
      <c r="S187" s="110"/>
      <c r="T187" s="103"/>
      <c r="U187" s="103"/>
      <c r="V187" s="104"/>
      <c r="W187" s="29"/>
    </row>
    <row r="188" spans="1:23" x14ac:dyDescent="0.3">
      <c r="A188" s="49"/>
      <c r="B188" s="49"/>
      <c r="C188" s="49"/>
      <c r="D188" s="94"/>
      <c r="E188" s="89"/>
      <c r="F188" s="84"/>
      <c r="G188" s="88"/>
      <c r="H188" s="87"/>
      <c r="I188" s="87"/>
      <c r="J188" s="123"/>
      <c r="K188" s="140"/>
      <c r="L188" s="130"/>
      <c r="M188" s="129"/>
      <c r="N188" s="76"/>
      <c r="O188" s="144"/>
      <c r="P188" s="6"/>
      <c r="Q188" s="165"/>
      <c r="R188" s="9"/>
      <c r="S188" s="110"/>
      <c r="T188" s="103"/>
      <c r="U188" s="103"/>
      <c r="V188" s="104"/>
      <c r="W188" s="29"/>
    </row>
    <row r="189" spans="1:23" x14ac:dyDescent="0.3">
      <c r="A189" s="49"/>
      <c r="B189" s="49"/>
      <c r="C189" s="49"/>
      <c r="D189" s="94"/>
      <c r="E189" s="85"/>
      <c r="F189" s="86"/>
      <c r="G189" s="88"/>
      <c r="H189" s="87"/>
      <c r="I189" s="87"/>
      <c r="J189" s="123"/>
      <c r="K189" s="140"/>
      <c r="L189" s="130"/>
      <c r="M189" s="124"/>
      <c r="N189" s="74"/>
      <c r="O189" s="194"/>
      <c r="P189" s="6"/>
      <c r="Q189" s="16"/>
      <c r="R189" s="9"/>
      <c r="S189" s="110"/>
      <c r="T189" s="103"/>
      <c r="U189" s="103"/>
      <c r="V189" s="104"/>
      <c r="W189" s="29"/>
    </row>
    <row r="190" spans="1:23" x14ac:dyDescent="0.3">
      <c r="A190" s="49"/>
      <c r="B190" s="49"/>
      <c r="C190" s="49"/>
      <c r="D190" s="94"/>
      <c r="E190" s="89"/>
      <c r="F190" s="84"/>
      <c r="G190" s="89"/>
      <c r="H190" s="84"/>
      <c r="I190" s="84"/>
      <c r="J190" s="119"/>
      <c r="K190" s="140"/>
      <c r="L190" s="131"/>
      <c r="M190" s="129"/>
      <c r="N190" s="76"/>
      <c r="O190" s="144"/>
      <c r="P190" s="6"/>
      <c r="Q190" s="16"/>
      <c r="R190" s="8"/>
      <c r="S190" s="110"/>
      <c r="T190" s="103"/>
      <c r="U190" s="103"/>
      <c r="V190" s="104"/>
      <c r="W190" s="29"/>
    </row>
    <row r="191" spans="1:23" x14ac:dyDescent="0.3">
      <c r="A191" s="49"/>
      <c r="B191" s="49"/>
      <c r="C191" s="49"/>
      <c r="D191" s="94"/>
      <c r="E191" s="85"/>
      <c r="F191" s="86"/>
      <c r="G191" s="88"/>
      <c r="H191" s="87"/>
      <c r="I191" s="87"/>
      <c r="J191" s="123"/>
      <c r="K191" s="140"/>
      <c r="L191" s="130"/>
      <c r="M191" s="129"/>
      <c r="N191" s="76"/>
      <c r="O191" s="144"/>
      <c r="P191" s="6"/>
      <c r="Q191" s="165"/>
      <c r="R191" s="106"/>
      <c r="S191" s="110"/>
      <c r="T191" s="103"/>
      <c r="U191" s="103"/>
      <c r="V191" s="104"/>
      <c r="W191" s="29"/>
    </row>
    <row r="192" spans="1:23" x14ac:dyDescent="0.3">
      <c r="A192" s="49"/>
      <c r="B192" s="49"/>
      <c r="C192" s="49"/>
      <c r="D192" s="94"/>
      <c r="E192" s="85"/>
      <c r="F192" s="86"/>
      <c r="G192" s="85"/>
      <c r="H192" s="86"/>
      <c r="I192" s="85"/>
      <c r="J192" s="125"/>
      <c r="K192" s="140"/>
      <c r="L192" s="132"/>
      <c r="M192" s="129"/>
      <c r="N192" s="76"/>
      <c r="O192" s="144"/>
      <c r="P192" s="6"/>
      <c r="Q192" s="165"/>
      <c r="R192" s="9"/>
      <c r="S192" s="110"/>
      <c r="T192" s="103"/>
      <c r="U192" s="103"/>
      <c r="V192" s="104"/>
      <c r="W192" s="29"/>
    </row>
    <row r="193" spans="1:23" x14ac:dyDescent="0.3">
      <c r="A193" s="49"/>
      <c r="B193" s="49"/>
      <c r="C193" s="49"/>
      <c r="D193" s="94"/>
      <c r="E193" s="85"/>
      <c r="F193" s="86"/>
      <c r="G193" s="88"/>
      <c r="H193" s="87"/>
      <c r="I193" s="87"/>
      <c r="J193" s="123"/>
      <c r="K193" s="140"/>
      <c r="L193" s="130"/>
      <c r="M193" s="129"/>
      <c r="N193" s="76"/>
      <c r="O193" s="144"/>
      <c r="P193" s="6"/>
      <c r="Q193" s="165"/>
      <c r="R193" s="106"/>
      <c r="S193" s="110"/>
      <c r="T193" s="103"/>
      <c r="U193" s="103"/>
      <c r="V193" s="104"/>
      <c r="W193" s="29"/>
    </row>
    <row r="194" spans="1:23" x14ac:dyDescent="0.3">
      <c r="A194" s="49"/>
      <c r="B194" s="49"/>
      <c r="C194" s="49"/>
      <c r="D194" s="94"/>
      <c r="E194" s="85"/>
      <c r="F194" s="86"/>
      <c r="G194" s="88"/>
      <c r="H194" s="87"/>
      <c r="I194" s="87"/>
      <c r="J194" s="123"/>
      <c r="K194" s="140"/>
      <c r="L194" s="130"/>
      <c r="M194" s="129"/>
      <c r="N194" s="76"/>
      <c r="O194" s="144"/>
      <c r="P194" s="6"/>
      <c r="Q194" s="165"/>
      <c r="R194" s="106"/>
      <c r="S194" s="110"/>
      <c r="T194" s="103"/>
      <c r="U194" s="103"/>
      <c r="V194" s="104"/>
      <c r="W194" s="29"/>
    </row>
    <row r="195" spans="1:23" x14ac:dyDescent="0.3">
      <c r="A195" s="49"/>
      <c r="B195" s="49"/>
      <c r="C195" s="49"/>
      <c r="D195" s="94"/>
      <c r="E195" s="85"/>
      <c r="F195" s="86"/>
      <c r="G195" s="88"/>
      <c r="H195" s="87"/>
      <c r="I195" s="87"/>
      <c r="J195" s="123"/>
      <c r="K195" s="140"/>
      <c r="L195" s="130"/>
      <c r="M195" s="124"/>
      <c r="N195" s="74"/>
      <c r="O195" s="194"/>
      <c r="P195" s="6"/>
      <c r="Q195" s="16"/>
      <c r="R195" s="106"/>
      <c r="S195" s="110"/>
      <c r="T195" s="103"/>
      <c r="U195" s="103"/>
      <c r="V195" s="104"/>
      <c r="W195" s="29"/>
    </row>
    <row r="196" spans="1:23" x14ac:dyDescent="0.3">
      <c r="A196" s="49"/>
      <c r="B196" s="49"/>
      <c r="C196" s="49"/>
      <c r="D196" s="94"/>
      <c r="E196" s="89"/>
      <c r="F196" s="84"/>
      <c r="G196" s="88"/>
      <c r="H196" s="87"/>
      <c r="I196" s="87"/>
      <c r="J196" s="123"/>
      <c r="K196" s="140"/>
      <c r="L196" s="130"/>
      <c r="M196" s="129"/>
      <c r="N196" s="76"/>
      <c r="O196" s="144"/>
      <c r="P196" s="6"/>
      <c r="Q196" s="16"/>
      <c r="R196" s="8"/>
      <c r="S196" s="110"/>
      <c r="T196" s="103"/>
      <c r="U196" s="103"/>
      <c r="V196" s="104"/>
      <c r="W196" s="29"/>
    </row>
    <row r="197" spans="1:23" x14ac:dyDescent="0.3">
      <c r="A197" s="49"/>
      <c r="B197" s="49"/>
      <c r="C197" s="49"/>
      <c r="D197" s="94"/>
      <c r="E197" s="85"/>
      <c r="F197" s="86"/>
      <c r="G197" s="88"/>
      <c r="H197" s="87"/>
      <c r="I197" s="87"/>
      <c r="J197" s="123"/>
      <c r="K197" s="140"/>
      <c r="L197" s="130"/>
      <c r="M197" s="129"/>
      <c r="N197" s="76"/>
      <c r="O197" s="144"/>
      <c r="P197" s="6"/>
      <c r="Q197" s="16"/>
      <c r="R197" s="8"/>
      <c r="S197" s="110"/>
      <c r="T197" s="103"/>
      <c r="U197" s="103"/>
      <c r="V197" s="104"/>
      <c r="W197" s="29"/>
    </row>
    <row r="198" spans="1:23" x14ac:dyDescent="0.3">
      <c r="A198" s="49"/>
      <c r="B198" s="49"/>
      <c r="C198" s="49"/>
      <c r="D198" s="94"/>
      <c r="E198" s="85"/>
      <c r="F198" s="86"/>
      <c r="G198" s="85"/>
      <c r="H198" s="86"/>
      <c r="I198" s="85"/>
      <c r="J198" s="125"/>
      <c r="K198" s="140"/>
      <c r="L198" s="132"/>
      <c r="M198" s="129"/>
      <c r="N198" s="76"/>
      <c r="O198" s="144"/>
      <c r="P198" s="6"/>
      <c r="Q198" s="16"/>
      <c r="R198" s="8"/>
      <c r="S198" s="110"/>
      <c r="T198" s="103"/>
      <c r="U198" s="103"/>
      <c r="V198" s="104"/>
      <c r="W198" s="29"/>
    </row>
    <row r="199" spans="1:23" x14ac:dyDescent="0.3">
      <c r="A199" s="49"/>
      <c r="B199" s="49"/>
      <c r="C199" s="49"/>
      <c r="D199" s="94"/>
      <c r="E199" s="85"/>
      <c r="F199" s="86"/>
      <c r="G199" s="88"/>
      <c r="H199" s="87"/>
      <c r="I199" s="87"/>
      <c r="J199" s="123"/>
      <c r="K199" s="140"/>
      <c r="L199" s="130"/>
      <c r="M199" s="124"/>
      <c r="N199" s="74"/>
      <c r="O199" s="194"/>
      <c r="P199" s="6"/>
      <c r="Q199" s="16"/>
      <c r="R199" s="106"/>
      <c r="S199" s="110"/>
      <c r="T199" s="103"/>
      <c r="U199" s="103"/>
      <c r="V199" s="104"/>
      <c r="W199" s="29"/>
    </row>
    <row r="200" spans="1:23" x14ac:dyDescent="0.3">
      <c r="A200" s="49"/>
      <c r="B200" s="49"/>
      <c r="C200" s="49"/>
      <c r="D200" s="94"/>
      <c r="E200" s="89"/>
      <c r="F200" s="84"/>
      <c r="G200" s="88"/>
      <c r="H200" s="87"/>
      <c r="I200" s="87"/>
      <c r="J200" s="123"/>
      <c r="K200" s="140"/>
      <c r="L200" s="130"/>
      <c r="M200" s="124"/>
      <c r="N200" s="74"/>
      <c r="O200" s="194"/>
      <c r="P200" s="6"/>
      <c r="Q200" s="16"/>
      <c r="R200" s="106"/>
      <c r="S200" s="110"/>
      <c r="T200" s="103"/>
      <c r="U200" s="103"/>
      <c r="V200" s="104"/>
      <c r="W200" s="29"/>
    </row>
    <row r="201" spans="1:23" x14ac:dyDescent="0.3">
      <c r="A201" s="49"/>
      <c r="B201" s="49"/>
      <c r="C201" s="49"/>
      <c r="D201" s="94"/>
      <c r="E201" s="89"/>
      <c r="F201" s="84"/>
      <c r="G201" s="88"/>
      <c r="H201" s="87"/>
      <c r="I201" s="87"/>
      <c r="J201" s="123"/>
      <c r="K201" s="140"/>
      <c r="L201" s="130"/>
      <c r="M201" s="124"/>
      <c r="N201" s="74"/>
      <c r="O201" s="194"/>
      <c r="P201" s="6"/>
      <c r="Q201" s="16"/>
      <c r="R201" s="8"/>
      <c r="S201" s="13"/>
      <c r="T201" s="103"/>
      <c r="U201" s="103"/>
      <c r="V201" s="104"/>
      <c r="W201" s="29"/>
    </row>
    <row r="202" spans="1:23" x14ac:dyDescent="0.3">
      <c r="A202" s="49"/>
      <c r="B202" s="49"/>
      <c r="C202" s="49"/>
      <c r="D202" s="94"/>
      <c r="E202" s="89"/>
      <c r="F202" s="84"/>
      <c r="G202" s="88"/>
      <c r="H202" s="87"/>
      <c r="I202" s="87"/>
      <c r="J202" s="123"/>
      <c r="K202" s="140"/>
      <c r="L202" s="130"/>
      <c r="M202" s="129"/>
      <c r="N202" s="76"/>
      <c r="O202" s="144"/>
      <c r="P202" s="6"/>
      <c r="Q202" s="16"/>
      <c r="R202" s="8"/>
      <c r="S202" s="110"/>
      <c r="T202" s="103"/>
      <c r="U202" s="103"/>
      <c r="V202" s="104"/>
      <c r="W202" s="29"/>
    </row>
    <row r="203" spans="1:23" x14ac:dyDescent="0.3">
      <c r="A203" s="49"/>
      <c r="B203" s="49"/>
      <c r="C203" s="49"/>
      <c r="D203" s="94"/>
      <c r="E203" s="85"/>
      <c r="F203" s="86"/>
      <c r="G203" s="88"/>
      <c r="H203" s="87"/>
      <c r="I203" s="87"/>
      <c r="J203" s="123"/>
      <c r="K203" s="140"/>
      <c r="L203" s="130"/>
      <c r="M203" s="124"/>
      <c r="N203" s="74"/>
      <c r="O203" s="194"/>
      <c r="P203" s="6"/>
      <c r="Q203" s="16"/>
      <c r="R203" s="106"/>
      <c r="S203" s="110"/>
      <c r="T203" s="103"/>
      <c r="U203" s="103"/>
      <c r="V203" s="104"/>
      <c r="W203" s="29"/>
    </row>
    <row r="204" spans="1:23" x14ac:dyDescent="0.3">
      <c r="A204" s="49"/>
      <c r="B204" s="49"/>
      <c r="C204" s="49"/>
      <c r="D204" s="94"/>
      <c r="E204" s="89"/>
      <c r="F204" s="84"/>
      <c r="G204" s="88"/>
      <c r="H204" s="87"/>
      <c r="I204" s="87"/>
      <c r="J204" s="123"/>
      <c r="K204" s="140"/>
      <c r="L204" s="130"/>
      <c r="M204" s="129"/>
      <c r="N204" s="76"/>
      <c r="O204" s="144"/>
      <c r="P204" s="6"/>
      <c r="Q204" s="16"/>
      <c r="R204" s="106"/>
      <c r="S204" s="110"/>
      <c r="T204" s="103"/>
      <c r="U204" s="103"/>
      <c r="V204" s="104"/>
      <c r="W204" s="29"/>
    </row>
    <row r="205" spans="1:23" x14ac:dyDescent="0.3">
      <c r="A205" s="49"/>
      <c r="B205" s="49"/>
      <c r="C205" s="49"/>
      <c r="D205" s="94"/>
      <c r="E205" s="85"/>
      <c r="F205" s="86"/>
      <c r="G205" s="88"/>
      <c r="H205" s="87"/>
      <c r="I205" s="87"/>
      <c r="J205" s="123"/>
      <c r="K205" s="140"/>
      <c r="L205" s="130"/>
      <c r="M205" s="124"/>
      <c r="N205" s="74"/>
      <c r="O205" s="194"/>
      <c r="P205" s="6"/>
      <c r="Q205" s="16"/>
      <c r="R205" s="106"/>
      <c r="S205" s="110"/>
      <c r="T205" s="103"/>
      <c r="U205" s="103"/>
      <c r="V205" s="104"/>
      <c r="W205" s="29"/>
    </row>
    <row r="206" spans="1:23" x14ac:dyDescent="0.3">
      <c r="A206" s="49"/>
      <c r="B206" s="49"/>
      <c r="C206" s="49"/>
      <c r="D206" s="94"/>
      <c r="E206" s="89"/>
      <c r="F206" s="84"/>
      <c r="G206" s="88"/>
      <c r="H206" s="87"/>
      <c r="I206" s="87"/>
      <c r="J206" s="123"/>
      <c r="K206" s="140"/>
      <c r="L206" s="130"/>
      <c r="M206" s="128"/>
      <c r="N206" s="75"/>
      <c r="O206" s="152"/>
      <c r="P206" s="6"/>
      <c r="Q206" s="16"/>
      <c r="R206" s="9"/>
      <c r="S206" s="110"/>
      <c r="T206" s="103"/>
      <c r="U206" s="103"/>
      <c r="V206" s="104"/>
      <c r="W206" s="29"/>
    </row>
    <row r="207" spans="1:23" x14ac:dyDescent="0.3">
      <c r="A207" s="49"/>
      <c r="B207" s="49"/>
      <c r="C207" s="49"/>
      <c r="D207" s="94"/>
      <c r="E207" s="85"/>
      <c r="F207" s="86"/>
      <c r="G207" s="88"/>
      <c r="H207" s="87"/>
      <c r="I207" s="87"/>
      <c r="J207" s="123"/>
      <c r="K207" s="140"/>
      <c r="L207" s="130"/>
      <c r="M207" s="128"/>
      <c r="N207" s="75"/>
      <c r="O207" s="152"/>
      <c r="P207" s="6"/>
      <c r="Q207" s="165"/>
      <c r="R207" s="8"/>
      <c r="S207" s="110"/>
      <c r="T207" s="103"/>
      <c r="U207" s="103"/>
      <c r="V207" s="104"/>
      <c r="W207" s="29"/>
    </row>
    <row r="208" spans="1:23" x14ac:dyDescent="0.3">
      <c r="A208" s="49"/>
      <c r="B208" s="49"/>
      <c r="C208" s="49"/>
      <c r="D208" s="94"/>
      <c r="E208" s="85"/>
      <c r="F208" s="86"/>
      <c r="G208" s="88"/>
      <c r="H208" s="87"/>
      <c r="I208" s="87"/>
      <c r="J208" s="123"/>
      <c r="K208" s="140"/>
      <c r="L208" s="130"/>
      <c r="M208" s="128"/>
      <c r="N208" s="75"/>
      <c r="O208" s="152"/>
      <c r="P208" s="6"/>
      <c r="Q208" s="165"/>
      <c r="R208" s="8"/>
      <c r="S208" s="110"/>
      <c r="T208" s="103"/>
      <c r="U208" s="103"/>
      <c r="V208" s="104"/>
      <c r="W208" s="29"/>
    </row>
    <row r="209" spans="1:23" x14ac:dyDescent="0.3">
      <c r="A209" s="49"/>
      <c r="B209" s="49"/>
      <c r="C209" s="49"/>
      <c r="D209" s="94"/>
      <c r="E209" s="85"/>
      <c r="F209" s="86"/>
      <c r="G209" s="88"/>
      <c r="H209" s="87"/>
      <c r="I209" s="87"/>
      <c r="J209" s="123"/>
      <c r="K209" s="140"/>
      <c r="L209" s="130"/>
      <c r="M209" s="124"/>
      <c r="N209" s="74"/>
      <c r="O209" s="194"/>
      <c r="P209" s="6"/>
      <c r="Q209" s="16"/>
      <c r="R209" s="106"/>
      <c r="S209" s="110"/>
      <c r="T209" s="103"/>
      <c r="U209" s="103"/>
      <c r="V209" s="104"/>
      <c r="W209" s="29"/>
    </row>
    <row r="210" spans="1:23" x14ac:dyDescent="0.3">
      <c r="A210" s="49"/>
      <c r="B210" s="49"/>
      <c r="C210" s="49"/>
      <c r="D210" s="94"/>
      <c r="G210" s="88"/>
      <c r="H210" s="87"/>
      <c r="I210" s="87"/>
      <c r="J210" s="123"/>
      <c r="K210" s="140"/>
      <c r="L210" s="130"/>
      <c r="M210" s="129"/>
      <c r="N210" s="76"/>
      <c r="O210" s="144"/>
      <c r="P210" s="6"/>
      <c r="Q210" s="165"/>
      <c r="R210" s="106"/>
      <c r="S210" s="110"/>
      <c r="T210" s="103"/>
      <c r="U210" s="103"/>
      <c r="V210" s="104"/>
      <c r="W210" s="29"/>
    </row>
    <row r="211" spans="1:23" x14ac:dyDescent="0.3">
      <c r="A211" s="49"/>
      <c r="B211" s="49"/>
      <c r="C211" s="49"/>
      <c r="D211" s="94"/>
      <c r="E211" s="85"/>
      <c r="F211" s="86"/>
      <c r="G211" s="88"/>
      <c r="H211" s="87"/>
      <c r="I211" s="87"/>
      <c r="J211" s="123"/>
      <c r="K211" s="140"/>
      <c r="L211" s="130"/>
      <c r="M211" s="129"/>
      <c r="N211" s="76"/>
      <c r="O211" s="144"/>
      <c r="P211" s="6"/>
      <c r="Q211" s="165"/>
      <c r="R211" s="8"/>
      <c r="S211" s="110"/>
      <c r="T211" s="103"/>
      <c r="U211" s="103"/>
      <c r="V211" s="104"/>
      <c r="W211" s="29"/>
    </row>
    <row r="212" spans="1:23" x14ac:dyDescent="0.3">
      <c r="A212" s="49"/>
      <c r="B212" s="49"/>
      <c r="C212" s="49"/>
      <c r="D212" s="94"/>
      <c r="E212" s="85"/>
      <c r="F212" s="86"/>
      <c r="G212" s="89"/>
      <c r="H212" s="84"/>
      <c r="I212" s="84"/>
      <c r="J212" s="119"/>
      <c r="K212" s="140"/>
      <c r="L212" s="131"/>
      <c r="M212" s="129"/>
      <c r="N212" s="76"/>
      <c r="O212" s="144"/>
      <c r="P212" s="6"/>
      <c r="Q212" s="16"/>
      <c r="R212" s="9"/>
      <c r="S212" s="110"/>
      <c r="T212" s="103"/>
      <c r="U212" s="103"/>
      <c r="V212" s="104"/>
      <c r="W212" s="29"/>
    </row>
    <row r="213" spans="1:23" x14ac:dyDescent="0.3">
      <c r="A213" s="49"/>
      <c r="B213" s="49"/>
      <c r="C213" s="49"/>
      <c r="D213" s="94"/>
      <c r="E213" s="85"/>
      <c r="F213" s="86"/>
      <c r="G213" s="88"/>
      <c r="H213" s="87"/>
      <c r="I213" s="87"/>
      <c r="J213" s="123"/>
      <c r="K213" s="140"/>
      <c r="L213" s="130"/>
      <c r="M213" s="124"/>
      <c r="N213" s="74"/>
      <c r="O213" s="194"/>
      <c r="P213" s="6"/>
      <c r="Q213" s="16"/>
      <c r="R213" s="106"/>
      <c r="S213" s="110"/>
      <c r="T213" s="103"/>
      <c r="U213" s="103"/>
      <c r="V213" s="104"/>
      <c r="W213" s="29"/>
    </row>
    <row r="214" spans="1:23" x14ac:dyDescent="0.3">
      <c r="A214" s="49"/>
      <c r="B214" s="49"/>
      <c r="C214" s="49"/>
      <c r="D214" s="94"/>
      <c r="E214" s="89"/>
      <c r="F214" s="84"/>
      <c r="G214" s="88"/>
      <c r="H214" s="87"/>
      <c r="I214" s="87"/>
      <c r="J214" s="123"/>
      <c r="K214" s="140"/>
      <c r="L214" s="130"/>
      <c r="M214" s="124"/>
      <c r="N214" s="74"/>
      <c r="O214" s="194"/>
      <c r="P214" s="6"/>
      <c r="Q214" s="16"/>
      <c r="R214" s="8"/>
      <c r="S214" s="110"/>
      <c r="T214" s="103"/>
      <c r="U214" s="103"/>
      <c r="V214" s="104"/>
      <c r="W214" s="29"/>
    </row>
    <row r="215" spans="1:23" x14ac:dyDescent="0.3">
      <c r="A215" s="49"/>
      <c r="B215" s="49"/>
      <c r="C215" s="49"/>
      <c r="D215" s="94"/>
      <c r="E215" s="85"/>
      <c r="F215" s="86"/>
      <c r="G215" s="88"/>
      <c r="H215" s="87"/>
      <c r="I215" s="87"/>
      <c r="J215" s="123"/>
      <c r="K215" s="140"/>
      <c r="L215" s="130"/>
      <c r="M215" s="124"/>
      <c r="N215" s="74"/>
      <c r="O215" s="194"/>
      <c r="P215" s="6"/>
      <c r="Q215" s="165"/>
      <c r="R215" s="9"/>
      <c r="S215" s="110"/>
      <c r="T215" s="103"/>
      <c r="U215" s="103"/>
      <c r="V215" s="104"/>
      <c r="W215" s="29"/>
    </row>
    <row r="216" spans="1:23" x14ac:dyDescent="0.3">
      <c r="A216" s="49"/>
      <c r="B216" s="49"/>
      <c r="C216" s="49"/>
      <c r="D216" s="94"/>
      <c r="E216" s="85"/>
      <c r="F216" s="86"/>
      <c r="G216" s="88"/>
      <c r="H216" s="87"/>
      <c r="I216" s="87"/>
      <c r="J216" s="123"/>
      <c r="K216" s="140"/>
      <c r="L216" s="130"/>
      <c r="M216" s="129"/>
      <c r="N216" s="76"/>
      <c r="O216" s="144"/>
      <c r="P216" s="6"/>
      <c r="Q216" s="16"/>
      <c r="R216" s="9"/>
      <c r="S216" s="13"/>
      <c r="T216" s="103"/>
      <c r="U216" s="103"/>
      <c r="V216" s="104"/>
      <c r="W216" s="29"/>
    </row>
    <row r="217" spans="1:23" x14ac:dyDescent="0.3">
      <c r="A217" s="49"/>
      <c r="B217" s="49"/>
      <c r="C217" s="49"/>
      <c r="D217" s="94"/>
      <c r="E217" s="85"/>
      <c r="F217" s="86"/>
      <c r="G217" s="88"/>
      <c r="H217" s="87"/>
      <c r="I217" s="87"/>
      <c r="J217" s="123"/>
      <c r="K217" s="140"/>
      <c r="L217" s="130"/>
      <c r="M217" s="129"/>
      <c r="N217" s="76"/>
      <c r="O217" s="144"/>
      <c r="P217" s="6"/>
      <c r="Q217" s="16"/>
      <c r="R217" s="9"/>
      <c r="S217" s="110"/>
      <c r="T217" s="103"/>
      <c r="U217" s="103"/>
      <c r="V217" s="104"/>
      <c r="W217" s="29"/>
    </row>
    <row r="218" spans="1:23" x14ac:dyDescent="0.3">
      <c r="A218" s="49"/>
      <c r="B218" s="49"/>
      <c r="C218" s="49"/>
      <c r="D218" s="94"/>
      <c r="E218" s="85"/>
      <c r="F218" s="86"/>
      <c r="G218" s="88"/>
      <c r="H218" s="87"/>
      <c r="I218" s="87"/>
      <c r="J218" s="123"/>
      <c r="K218" s="140"/>
      <c r="L218" s="130"/>
      <c r="M218" s="124"/>
      <c r="N218" s="74"/>
      <c r="O218" s="194"/>
      <c r="P218" s="6"/>
      <c r="Q218" s="16"/>
      <c r="R218" s="8"/>
      <c r="S218" s="110"/>
      <c r="T218" s="103"/>
      <c r="U218" s="103"/>
      <c r="V218" s="104"/>
      <c r="W218" s="29"/>
    </row>
    <row r="219" spans="1:23" x14ac:dyDescent="0.3">
      <c r="A219" s="49"/>
      <c r="B219" s="49"/>
      <c r="C219" s="49"/>
      <c r="D219" s="94"/>
      <c r="E219" s="89"/>
      <c r="F219" s="84"/>
      <c r="G219" s="88"/>
      <c r="H219" s="87"/>
      <c r="I219" s="87"/>
      <c r="J219" s="123"/>
      <c r="K219" s="140"/>
      <c r="L219" s="130"/>
      <c r="M219" s="124"/>
      <c r="N219" s="74"/>
      <c r="O219" s="194"/>
      <c r="P219" s="6"/>
      <c r="Q219" s="16"/>
      <c r="R219" s="9"/>
      <c r="S219" s="110"/>
      <c r="T219" s="103"/>
      <c r="U219" s="103"/>
      <c r="V219" s="104"/>
      <c r="W219" s="29"/>
    </row>
    <row r="220" spans="1:23" x14ac:dyDescent="0.3">
      <c r="A220" s="49"/>
      <c r="B220" s="49"/>
      <c r="C220" s="49"/>
      <c r="D220" s="94"/>
      <c r="E220" s="89"/>
      <c r="F220" s="84"/>
      <c r="G220" s="88"/>
      <c r="H220" s="87"/>
      <c r="I220" s="87"/>
      <c r="J220" s="123"/>
      <c r="K220" s="140"/>
      <c r="L220" s="130"/>
      <c r="M220" s="124"/>
      <c r="N220" s="74"/>
      <c r="O220" s="194"/>
      <c r="P220" s="6"/>
      <c r="Q220" s="16"/>
      <c r="R220" s="106"/>
      <c r="S220" s="110"/>
      <c r="T220" s="103"/>
      <c r="U220" s="103"/>
      <c r="V220" s="104"/>
      <c r="W220" s="29"/>
    </row>
    <row r="221" spans="1:23" x14ac:dyDescent="0.3">
      <c r="A221" s="49"/>
      <c r="B221" s="49"/>
      <c r="C221" s="49"/>
      <c r="D221" s="94"/>
      <c r="E221" s="89"/>
      <c r="F221" s="84"/>
      <c r="G221" s="88"/>
      <c r="H221" s="87"/>
      <c r="I221" s="87"/>
      <c r="J221" s="123"/>
      <c r="K221" s="140"/>
      <c r="L221" s="130"/>
      <c r="M221" s="129"/>
      <c r="N221" s="76"/>
      <c r="O221" s="144"/>
      <c r="P221" s="6"/>
      <c r="Q221" s="16"/>
      <c r="R221" s="8"/>
      <c r="S221" s="13"/>
      <c r="T221" s="103"/>
      <c r="U221" s="103"/>
      <c r="V221" s="104"/>
      <c r="W221" s="29"/>
    </row>
    <row r="222" spans="1:23" x14ac:dyDescent="0.3">
      <c r="A222" s="49"/>
      <c r="B222" s="49"/>
      <c r="C222" s="49"/>
      <c r="D222" s="94"/>
      <c r="E222" s="85"/>
      <c r="F222" s="86"/>
      <c r="G222" s="88"/>
      <c r="H222" s="87"/>
      <c r="I222" s="87"/>
      <c r="J222" s="123"/>
      <c r="K222" s="140"/>
      <c r="L222" s="130"/>
      <c r="M222" s="124"/>
      <c r="N222" s="74"/>
      <c r="O222" s="194"/>
      <c r="P222" s="6"/>
      <c r="Q222" s="16"/>
      <c r="R222" s="8"/>
      <c r="S222" s="110"/>
      <c r="T222" s="103"/>
      <c r="U222" s="103"/>
      <c r="V222" s="104"/>
      <c r="W222" s="29"/>
    </row>
    <row r="223" spans="1:23" x14ac:dyDescent="0.3">
      <c r="A223" s="49"/>
      <c r="B223" s="49"/>
      <c r="C223" s="49"/>
      <c r="D223" s="94"/>
      <c r="E223" s="85"/>
      <c r="F223" s="86"/>
      <c r="G223" s="88"/>
      <c r="H223" s="87"/>
      <c r="I223" s="87"/>
      <c r="J223" s="123"/>
      <c r="K223" s="140"/>
      <c r="L223" s="130"/>
      <c r="M223" s="129"/>
      <c r="N223" s="76"/>
      <c r="O223" s="144"/>
      <c r="P223" s="6"/>
      <c r="Q223" s="165"/>
      <c r="R223" s="8"/>
      <c r="S223" s="13"/>
      <c r="T223" s="103"/>
      <c r="U223" s="103"/>
      <c r="V223" s="104"/>
      <c r="W223" s="29"/>
    </row>
    <row r="224" spans="1:23" x14ac:dyDescent="0.3">
      <c r="A224" s="49"/>
      <c r="B224" s="49"/>
      <c r="C224" s="49"/>
      <c r="D224" s="94"/>
      <c r="E224" s="85"/>
      <c r="F224" s="86"/>
      <c r="G224" s="88"/>
      <c r="H224" s="87"/>
      <c r="I224" s="87"/>
      <c r="J224" s="123"/>
      <c r="K224" s="140"/>
      <c r="L224" s="130"/>
      <c r="M224" s="129"/>
      <c r="N224" s="76"/>
      <c r="O224" s="144"/>
      <c r="P224" s="6"/>
      <c r="Q224" s="165"/>
      <c r="R224" s="9"/>
      <c r="S224" s="110"/>
      <c r="T224" s="103"/>
      <c r="U224" s="103"/>
      <c r="V224" s="104"/>
      <c r="W224" s="29"/>
    </row>
    <row r="225" spans="1:23" x14ac:dyDescent="0.3">
      <c r="A225" s="49"/>
      <c r="B225" s="49"/>
      <c r="C225" s="49"/>
      <c r="D225" s="94"/>
      <c r="E225" s="85"/>
      <c r="F225" s="86"/>
      <c r="G225" s="85"/>
      <c r="H225" s="86"/>
      <c r="I225" s="87"/>
      <c r="J225" s="123"/>
      <c r="K225" s="140"/>
      <c r="L225" s="130"/>
      <c r="M225" s="129"/>
      <c r="N225" s="76"/>
      <c r="O225" s="144"/>
      <c r="P225" s="6"/>
      <c r="Q225" s="16"/>
      <c r="R225" s="9"/>
      <c r="S225" s="110"/>
      <c r="T225" s="103"/>
      <c r="U225" s="103"/>
      <c r="V225" s="104"/>
      <c r="W225" s="29"/>
    </row>
    <row r="226" spans="1:23" x14ac:dyDescent="0.3">
      <c r="A226" s="49"/>
      <c r="B226" s="49"/>
      <c r="C226" s="49"/>
      <c r="D226" s="94"/>
      <c r="E226" s="85"/>
      <c r="F226" s="86"/>
      <c r="G226" s="88"/>
      <c r="H226" s="87"/>
      <c r="I226" s="87"/>
      <c r="J226" s="123"/>
      <c r="K226" s="140"/>
      <c r="L226" s="130"/>
      <c r="M226" s="129"/>
      <c r="N226" s="76"/>
      <c r="O226" s="144"/>
      <c r="P226" s="6"/>
      <c r="Q226" s="165"/>
      <c r="R226" s="9"/>
      <c r="S226" s="110"/>
      <c r="T226" s="103"/>
      <c r="U226" s="103"/>
      <c r="V226" s="104"/>
      <c r="W226" s="29"/>
    </row>
    <row r="227" spans="1:23" x14ac:dyDescent="0.3">
      <c r="A227" s="49"/>
      <c r="B227" s="49"/>
      <c r="C227" s="49"/>
      <c r="D227" s="94"/>
      <c r="E227" s="85"/>
      <c r="F227" s="86"/>
      <c r="G227" s="88"/>
      <c r="H227" s="87"/>
      <c r="I227" s="87"/>
      <c r="J227" s="123"/>
      <c r="K227" s="140"/>
      <c r="L227" s="130"/>
      <c r="M227" s="129"/>
      <c r="N227" s="76"/>
      <c r="O227" s="144"/>
      <c r="P227" s="6"/>
      <c r="Q227" s="16"/>
      <c r="R227" s="9"/>
      <c r="S227" s="13"/>
      <c r="T227" s="103"/>
      <c r="U227" s="103"/>
      <c r="V227" s="104"/>
      <c r="W227" s="29"/>
    </row>
    <row r="228" spans="1:23" x14ac:dyDescent="0.3">
      <c r="A228" s="49"/>
      <c r="B228" s="49"/>
      <c r="C228" s="49"/>
      <c r="D228" s="94"/>
      <c r="E228" s="85"/>
      <c r="F228" s="86"/>
      <c r="G228" s="88"/>
      <c r="H228" s="87"/>
      <c r="I228" s="87"/>
      <c r="J228" s="123"/>
      <c r="K228" s="140"/>
      <c r="L228" s="130"/>
      <c r="M228" s="124"/>
      <c r="N228" s="74"/>
      <c r="O228" s="194"/>
      <c r="P228" s="6"/>
      <c r="Q228" s="16"/>
      <c r="R228" s="8"/>
      <c r="S228" s="110"/>
      <c r="T228" s="103"/>
      <c r="U228" s="103"/>
      <c r="V228" s="104"/>
      <c r="W228" s="29"/>
    </row>
    <row r="229" spans="1:23" x14ac:dyDescent="0.3">
      <c r="A229" s="49"/>
      <c r="B229" s="49"/>
      <c r="C229" s="49"/>
      <c r="D229" s="94"/>
      <c r="E229" s="89"/>
      <c r="F229" s="84"/>
      <c r="G229" s="88"/>
      <c r="H229" s="87"/>
      <c r="I229" s="87"/>
      <c r="J229" s="123"/>
      <c r="K229" s="140"/>
      <c r="L229" s="130"/>
      <c r="M229" s="124"/>
      <c r="N229" s="74"/>
      <c r="O229" s="194"/>
      <c r="P229" s="6"/>
      <c r="Q229" s="16"/>
      <c r="R229" s="8"/>
      <c r="S229" s="110"/>
      <c r="T229" s="103"/>
      <c r="U229" s="103"/>
      <c r="V229" s="104"/>
      <c r="W229" s="29"/>
    </row>
    <row r="230" spans="1:23" x14ac:dyDescent="0.3">
      <c r="A230" s="49"/>
      <c r="B230" s="49"/>
      <c r="C230" s="49"/>
      <c r="D230" s="94"/>
      <c r="E230" s="89"/>
      <c r="F230" s="84"/>
      <c r="G230" s="88"/>
      <c r="H230" s="87"/>
      <c r="I230" s="87"/>
      <c r="J230" s="123"/>
      <c r="K230" s="140"/>
      <c r="L230" s="130"/>
      <c r="M230" s="124"/>
      <c r="N230" s="74"/>
      <c r="O230" s="194"/>
      <c r="P230" s="6"/>
      <c r="Q230" s="16"/>
      <c r="R230" s="106"/>
      <c r="S230" s="13"/>
      <c r="T230" s="103"/>
      <c r="U230" s="103"/>
      <c r="V230" s="104"/>
      <c r="W230" s="29"/>
    </row>
    <row r="231" spans="1:23" x14ac:dyDescent="0.3">
      <c r="A231" s="49"/>
      <c r="B231" s="49"/>
      <c r="C231" s="49"/>
      <c r="D231" s="94"/>
      <c r="E231" s="85"/>
      <c r="F231" s="86"/>
      <c r="G231" s="88"/>
      <c r="H231" s="87"/>
      <c r="I231" s="87"/>
      <c r="J231" s="123"/>
      <c r="K231" s="140"/>
      <c r="L231" s="130"/>
      <c r="M231" s="124"/>
      <c r="N231" s="74"/>
      <c r="O231" s="194"/>
      <c r="P231" s="6"/>
      <c r="Q231" s="16"/>
      <c r="R231" s="9"/>
      <c r="S231" s="13"/>
      <c r="T231" s="103"/>
      <c r="U231" s="103"/>
      <c r="V231" s="104"/>
      <c r="W231" s="29"/>
    </row>
    <row r="232" spans="1:23" x14ac:dyDescent="0.3">
      <c r="A232" s="49"/>
      <c r="B232" s="49"/>
      <c r="C232" s="49"/>
      <c r="D232" s="94"/>
      <c r="G232" s="88"/>
      <c r="H232" s="87"/>
      <c r="I232" s="87"/>
      <c r="J232" s="123"/>
      <c r="K232" s="140"/>
      <c r="L232" s="130"/>
      <c r="M232" s="129"/>
      <c r="N232" s="76"/>
      <c r="O232" s="144"/>
      <c r="P232" s="6"/>
      <c r="Q232" s="16"/>
      <c r="R232" s="106"/>
      <c r="S232" s="110"/>
      <c r="T232" s="103"/>
      <c r="U232" s="103"/>
      <c r="V232" s="104"/>
      <c r="W232" s="29"/>
    </row>
    <row r="233" spans="1:23" x14ac:dyDescent="0.3">
      <c r="A233" s="49"/>
      <c r="B233" s="49"/>
      <c r="C233" s="49"/>
      <c r="D233" s="94"/>
      <c r="E233" s="85"/>
      <c r="F233" s="86"/>
      <c r="G233" s="88"/>
      <c r="H233" s="87"/>
      <c r="I233" s="87"/>
      <c r="J233" s="123"/>
      <c r="K233" s="140"/>
      <c r="L233" s="130"/>
      <c r="M233" s="124"/>
      <c r="N233" s="74"/>
      <c r="O233" s="194"/>
      <c r="P233" s="6"/>
      <c r="Q233" s="16"/>
      <c r="R233" s="106"/>
      <c r="S233" s="110"/>
      <c r="T233" s="103"/>
      <c r="U233" s="103"/>
      <c r="V233" s="104"/>
      <c r="W233" s="29"/>
    </row>
    <row r="234" spans="1:23" x14ac:dyDescent="0.3">
      <c r="A234" s="49"/>
      <c r="B234" s="49"/>
      <c r="C234" s="49"/>
      <c r="D234" s="94"/>
      <c r="E234" s="89"/>
      <c r="F234" s="84"/>
      <c r="G234" s="88"/>
      <c r="H234" s="87"/>
      <c r="I234" s="87"/>
      <c r="J234" s="123"/>
      <c r="K234" s="140"/>
      <c r="L234" s="130"/>
      <c r="M234" s="124"/>
      <c r="N234" s="74"/>
      <c r="O234" s="194"/>
      <c r="P234" s="6"/>
      <c r="Q234" s="16"/>
      <c r="R234" s="106"/>
      <c r="S234" s="13"/>
      <c r="T234" s="103"/>
      <c r="U234" s="103"/>
      <c r="V234" s="104"/>
      <c r="W234" s="29"/>
    </row>
    <row r="235" spans="1:23" x14ac:dyDescent="0.3">
      <c r="A235" s="49"/>
      <c r="B235" s="49"/>
      <c r="C235" s="49"/>
      <c r="D235" s="94"/>
      <c r="E235" s="89"/>
      <c r="F235" s="84"/>
      <c r="G235" s="88"/>
      <c r="H235" s="87"/>
      <c r="I235" s="87"/>
      <c r="J235" s="123"/>
      <c r="K235" s="140"/>
      <c r="L235" s="130"/>
      <c r="M235" s="129"/>
      <c r="N235" s="76"/>
      <c r="O235" s="144"/>
      <c r="P235" s="6"/>
      <c r="Q235" s="16"/>
      <c r="R235" s="106"/>
      <c r="S235" s="13"/>
      <c r="T235" s="103"/>
      <c r="U235" s="103"/>
      <c r="V235" s="104"/>
      <c r="W235" s="29"/>
    </row>
    <row r="236" spans="1:23" x14ac:dyDescent="0.3">
      <c r="A236" s="49"/>
      <c r="B236" s="49"/>
      <c r="C236" s="49"/>
      <c r="D236" s="94"/>
      <c r="E236" s="85"/>
      <c r="F236" s="86"/>
      <c r="G236" s="88"/>
      <c r="H236" s="87"/>
      <c r="I236" s="87"/>
      <c r="J236" s="123"/>
      <c r="K236" s="140"/>
      <c r="L236" s="130"/>
      <c r="M236" s="124"/>
      <c r="N236" s="74"/>
      <c r="O236" s="194"/>
      <c r="P236" s="6"/>
      <c r="Q236" s="165"/>
      <c r="R236" s="106"/>
      <c r="S236" s="110"/>
      <c r="T236" s="103"/>
      <c r="U236" s="103"/>
      <c r="V236" s="104"/>
      <c r="W236" s="29"/>
    </row>
    <row r="237" spans="1:23" x14ac:dyDescent="0.3">
      <c r="A237" s="49"/>
      <c r="B237" s="49"/>
      <c r="C237" s="49"/>
      <c r="D237" s="94"/>
      <c r="E237" s="89"/>
      <c r="F237" s="84"/>
      <c r="G237" s="88"/>
      <c r="H237" s="87"/>
      <c r="I237" s="87"/>
      <c r="J237" s="123"/>
      <c r="K237" s="140"/>
      <c r="L237" s="130"/>
      <c r="M237" s="124"/>
      <c r="N237" s="74"/>
      <c r="O237" s="194"/>
      <c r="P237" s="6"/>
      <c r="Q237" s="165"/>
      <c r="R237" s="106"/>
      <c r="S237" s="110"/>
      <c r="T237" s="103"/>
      <c r="U237" s="103"/>
      <c r="V237" s="104"/>
      <c r="W237" s="29"/>
    </row>
    <row r="238" spans="1:23" x14ac:dyDescent="0.3">
      <c r="A238" s="49"/>
      <c r="B238" s="49"/>
      <c r="C238" s="49"/>
      <c r="D238" s="94"/>
      <c r="E238" s="89"/>
      <c r="F238" s="84"/>
      <c r="G238" s="88"/>
      <c r="H238" s="87"/>
      <c r="I238" s="87"/>
      <c r="J238" s="123"/>
      <c r="K238" s="140"/>
      <c r="L238" s="130"/>
      <c r="M238" s="124"/>
      <c r="N238" s="74"/>
      <c r="O238" s="194"/>
      <c r="P238" s="6"/>
      <c r="Q238" s="16"/>
      <c r="R238" s="8"/>
      <c r="S238" s="13"/>
      <c r="T238" s="103"/>
      <c r="U238" s="103"/>
      <c r="V238" s="104"/>
      <c r="W238" s="29"/>
    </row>
    <row r="239" spans="1:23" x14ac:dyDescent="0.3">
      <c r="A239" s="49"/>
      <c r="B239" s="49"/>
      <c r="C239" s="49"/>
      <c r="D239" s="94"/>
      <c r="E239" s="89"/>
      <c r="F239" s="84"/>
      <c r="G239" s="88"/>
      <c r="H239" s="87"/>
      <c r="I239" s="87"/>
      <c r="J239" s="123"/>
      <c r="K239" s="140"/>
      <c r="L239" s="130"/>
      <c r="M239" s="124"/>
      <c r="N239" s="74"/>
      <c r="O239" s="194"/>
      <c r="P239" s="6"/>
      <c r="Q239" s="16"/>
      <c r="R239" s="9"/>
      <c r="S239" s="13"/>
      <c r="T239" s="103"/>
      <c r="U239" s="103"/>
      <c r="V239" s="104"/>
      <c r="W239" s="29"/>
    </row>
    <row r="240" spans="1:23" x14ac:dyDescent="0.3">
      <c r="A240" s="49"/>
      <c r="B240" s="49"/>
      <c r="C240" s="49"/>
      <c r="D240" s="94"/>
      <c r="E240" s="89"/>
      <c r="F240" s="84"/>
      <c r="G240" s="88"/>
      <c r="H240" s="87"/>
      <c r="I240" s="87"/>
      <c r="J240" s="123"/>
      <c r="K240" s="140"/>
      <c r="L240" s="130"/>
      <c r="M240" s="124"/>
      <c r="N240" s="74"/>
      <c r="O240" s="194"/>
      <c r="P240" s="6"/>
      <c r="Q240" s="16"/>
      <c r="R240" s="8"/>
      <c r="S240" s="13"/>
      <c r="T240" s="103"/>
      <c r="U240" s="103"/>
      <c r="V240" s="104"/>
      <c r="W240" s="29"/>
    </row>
    <row r="241" spans="1:23" x14ac:dyDescent="0.3">
      <c r="A241" s="49"/>
      <c r="B241" s="49"/>
      <c r="C241" s="49"/>
      <c r="D241" s="94"/>
      <c r="E241" s="89"/>
      <c r="F241" s="84"/>
      <c r="G241" s="88"/>
      <c r="H241" s="87"/>
      <c r="I241" s="87"/>
      <c r="J241" s="123"/>
      <c r="K241" s="140"/>
      <c r="L241" s="130"/>
      <c r="M241" s="124"/>
      <c r="N241" s="74"/>
      <c r="O241" s="194"/>
      <c r="P241" s="6"/>
      <c r="Q241" s="16"/>
      <c r="R241" s="8"/>
      <c r="S241" s="13"/>
      <c r="T241" s="103"/>
      <c r="U241" s="103"/>
      <c r="V241" s="104"/>
      <c r="W241" s="29"/>
    </row>
    <row r="242" spans="1:23" x14ac:dyDescent="0.3">
      <c r="A242" s="49"/>
      <c r="B242" s="49"/>
      <c r="C242" s="49"/>
      <c r="D242" s="94"/>
      <c r="E242" s="89"/>
      <c r="F242" s="84"/>
      <c r="G242" s="89"/>
      <c r="H242" s="84"/>
      <c r="I242" s="84"/>
      <c r="J242" s="119"/>
      <c r="K242" s="140"/>
      <c r="L242" s="131"/>
      <c r="M242" s="128"/>
      <c r="N242" s="75"/>
      <c r="O242" s="152"/>
      <c r="P242" s="6"/>
      <c r="Q242" s="16"/>
      <c r="R242" s="8"/>
      <c r="S242" s="13"/>
      <c r="T242" s="103"/>
      <c r="U242" s="103"/>
      <c r="V242" s="104"/>
      <c r="W242" s="29"/>
    </row>
    <row r="243" spans="1:23" x14ac:dyDescent="0.3">
      <c r="A243" s="49"/>
      <c r="B243" s="49"/>
      <c r="C243" s="49"/>
      <c r="D243" s="94"/>
      <c r="E243" s="85"/>
      <c r="F243" s="86"/>
      <c r="G243" s="88"/>
      <c r="H243" s="87"/>
      <c r="I243" s="87"/>
      <c r="J243" s="123"/>
      <c r="K243" s="140"/>
      <c r="L243" s="130"/>
      <c r="M243" s="128"/>
      <c r="N243" s="75"/>
      <c r="O243" s="152"/>
      <c r="P243" s="6"/>
      <c r="Q243" s="16"/>
      <c r="R243" s="106"/>
      <c r="S243" s="110"/>
      <c r="T243" s="103"/>
      <c r="U243" s="103"/>
      <c r="V243" s="104"/>
      <c r="W243" s="29"/>
    </row>
    <row r="244" spans="1:23" x14ac:dyDescent="0.3">
      <c r="A244" s="49"/>
      <c r="B244" s="49"/>
      <c r="C244" s="49"/>
      <c r="D244" s="94"/>
      <c r="E244" s="85"/>
      <c r="F244" s="86"/>
      <c r="G244" s="88"/>
      <c r="H244" s="87"/>
      <c r="I244" s="87"/>
      <c r="J244" s="123"/>
      <c r="K244" s="140"/>
      <c r="L244" s="130"/>
      <c r="M244" s="128"/>
      <c r="N244" s="75"/>
      <c r="O244" s="152"/>
      <c r="P244" s="6"/>
      <c r="Q244" s="16"/>
      <c r="R244" s="9"/>
      <c r="S244" s="13"/>
      <c r="T244" s="103"/>
      <c r="U244" s="103"/>
      <c r="V244" s="104"/>
      <c r="W244" s="29"/>
    </row>
    <row r="245" spans="1:23" x14ac:dyDescent="0.3">
      <c r="A245" s="49"/>
      <c r="B245" s="49"/>
      <c r="C245" s="49"/>
      <c r="D245" s="94"/>
      <c r="E245" s="89"/>
      <c r="F245" s="84"/>
      <c r="G245" s="88"/>
      <c r="H245" s="87"/>
      <c r="I245" s="87"/>
      <c r="J245" s="123"/>
      <c r="K245" s="140"/>
      <c r="L245" s="130"/>
      <c r="M245" s="128"/>
      <c r="N245" s="75"/>
      <c r="O245" s="152"/>
      <c r="P245" s="6"/>
      <c r="Q245" s="16"/>
      <c r="R245" s="8"/>
      <c r="S245" s="13"/>
      <c r="T245" s="103"/>
      <c r="U245" s="103"/>
      <c r="V245" s="104"/>
      <c r="W245" s="29"/>
    </row>
    <row r="246" spans="1:23" x14ac:dyDescent="0.3">
      <c r="A246" s="49"/>
      <c r="B246" s="49"/>
      <c r="C246" s="49"/>
      <c r="D246" s="94"/>
      <c r="E246" s="89"/>
      <c r="F246" s="84"/>
      <c r="G246" s="88"/>
      <c r="H246" s="87"/>
      <c r="I246" s="87"/>
      <c r="J246" s="123"/>
      <c r="K246" s="140"/>
      <c r="L246" s="130"/>
      <c r="M246" s="128"/>
      <c r="N246" s="75"/>
      <c r="O246" s="152"/>
      <c r="P246" s="6"/>
      <c r="Q246" s="16"/>
      <c r="R246" s="8"/>
      <c r="S246" s="13"/>
      <c r="T246" s="103"/>
      <c r="U246" s="103"/>
      <c r="V246" s="104"/>
      <c r="W246" s="29"/>
    </row>
    <row r="247" spans="1:23" x14ac:dyDescent="0.3">
      <c r="A247" s="49"/>
      <c r="B247" s="49"/>
      <c r="C247" s="49"/>
      <c r="D247" s="94"/>
      <c r="E247" s="85"/>
      <c r="F247" s="86"/>
      <c r="G247" s="88"/>
      <c r="H247" s="87"/>
      <c r="I247" s="87"/>
      <c r="J247" s="123"/>
      <c r="K247" s="138"/>
      <c r="L247" s="130"/>
      <c r="M247" s="121"/>
      <c r="N247" s="72"/>
      <c r="O247" s="152"/>
      <c r="P247" s="6"/>
      <c r="Q247" s="192"/>
      <c r="R247" s="96"/>
      <c r="S247" s="13"/>
      <c r="T247" s="13"/>
      <c r="U247" s="13"/>
      <c r="V247" s="100"/>
      <c r="W247" s="209"/>
    </row>
    <row r="248" spans="1:23" x14ac:dyDescent="0.3">
      <c r="A248" s="50"/>
      <c r="B248" s="50"/>
      <c r="C248" s="50"/>
      <c r="D248" s="95"/>
      <c r="E248" s="89"/>
      <c r="F248" s="84"/>
      <c r="G248" s="88"/>
      <c r="H248" s="87"/>
      <c r="I248" s="87"/>
      <c r="J248" s="123"/>
      <c r="K248" s="140"/>
      <c r="L248" s="130"/>
      <c r="M248" s="129"/>
      <c r="N248" s="76"/>
      <c r="O248" s="144"/>
      <c r="P248" s="6"/>
      <c r="Q248" s="16"/>
      <c r="R248" s="106"/>
      <c r="S248" s="13"/>
      <c r="T248" s="103"/>
      <c r="U248" s="103"/>
      <c r="V248" s="104"/>
      <c r="W248" s="29"/>
    </row>
    <row r="249" spans="1:23" x14ac:dyDescent="0.3">
      <c r="A249" s="49"/>
      <c r="B249" s="49"/>
      <c r="C249" s="49"/>
      <c r="D249" s="94"/>
      <c r="E249" s="85"/>
      <c r="F249" s="86"/>
      <c r="G249" s="85"/>
      <c r="H249" s="86"/>
      <c r="I249" s="87"/>
      <c r="J249" s="123"/>
      <c r="K249" s="140"/>
      <c r="L249" s="130"/>
      <c r="M249" s="129"/>
      <c r="N249" s="76"/>
      <c r="O249" s="194"/>
      <c r="P249" s="6"/>
      <c r="Q249" s="16"/>
      <c r="R249" s="106"/>
      <c r="S249" s="110"/>
      <c r="T249" s="103"/>
      <c r="U249" s="103"/>
      <c r="V249" s="104"/>
      <c r="W249" s="29"/>
    </row>
    <row r="250" spans="1:23" x14ac:dyDescent="0.3">
      <c r="A250" s="49"/>
      <c r="B250" s="49"/>
      <c r="C250" s="49"/>
      <c r="D250" s="94"/>
      <c r="E250" s="85"/>
      <c r="F250" s="86"/>
      <c r="G250" s="88"/>
      <c r="H250" s="87"/>
      <c r="I250" s="87"/>
      <c r="J250" s="123"/>
      <c r="K250" s="140"/>
      <c r="L250" s="130"/>
      <c r="M250" s="129"/>
      <c r="N250" s="76"/>
      <c r="O250" s="144"/>
      <c r="P250" s="6"/>
      <c r="Q250" s="165"/>
      <c r="R250" s="106"/>
      <c r="S250" s="13"/>
      <c r="T250" s="103"/>
      <c r="U250" s="103"/>
      <c r="V250" s="104"/>
      <c r="W250" s="29"/>
    </row>
    <row r="251" spans="1:23" x14ac:dyDescent="0.3">
      <c r="A251" s="49"/>
      <c r="B251" s="49"/>
      <c r="C251" s="49"/>
      <c r="D251" s="94"/>
      <c r="E251" s="85"/>
      <c r="F251" s="86"/>
      <c r="G251" s="88"/>
      <c r="H251" s="87"/>
      <c r="I251" s="87"/>
      <c r="J251" s="123"/>
      <c r="K251" s="140"/>
      <c r="L251" s="130"/>
      <c r="M251" s="129"/>
      <c r="N251" s="76"/>
      <c r="O251" s="144"/>
      <c r="P251" s="6"/>
      <c r="Q251" s="16"/>
      <c r="R251" s="106"/>
      <c r="S251" s="110"/>
      <c r="T251" s="103"/>
      <c r="U251" s="103"/>
      <c r="V251" s="104"/>
      <c r="W251" s="29"/>
    </row>
    <row r="252" spans="1:23" x14ac:dyDescent="0.3">
      <c r="A252" s="49"/>
      <c r="B252" s="49"/>
      <c r="C252" s="49"/>
      <c r="D252" s="94"/>
      <c r="E252" s="85"/>
      <c r="F252" s="86"/>
      <c r="G252" s="88"/>
      <c r="H252" s="87"/>
      <c r="I252" s="87"/>
      <c r="J252" s="123"/>
      <c r="K252" s="140"/>
      <c r="L252" s="130"/>
      <c r="M252" s="129"/>
      <c r="N252" s="76"/>
      <c r="O252" s="194"/>
      <c r="P252" s="6"/>
      <c r="Q252" s="165"/>
      <c r="R252" s="8"/>
      <c r="S252" s="13"/>
      <c r="T252" s="103"/>
      <c r="U252" s="103"/>
      <c r="V252" s="104"/>
      <c r="W252" s="29"/>
    </row>
    <row r="253" spans="1:23" x14ac:dyDescent="0.3">
      <c r="A253" s="49"/>
      <c r="B253" s="49"/>
      <c r="C253" s="49"/>
      <c r="D253" s="94"/>
      <c r="E253" s="85"/>
      <c r="F253" s="86"/>
      <c r="G253" s="88"/>
      <c r="H253" s="87"/>
      <c r="I253" s="87"/>
      <c r="J253" s="123"/>
      <c r="K253" s="140"/>
      <c r="L253" s="130"/>
      <c r="M253" s="129"/>
      <c r="N253" s="76"/>
      <c r="O253" s="144"/>
      <c r="P253" s="6"/>
      <c r="Q253" s="16"/>
      <c r="R253" s="106"/>
      <c r="S253" s="13"/>
      <c r="T253" s="103"/>
      <c r="U253" s="103"/>
      <c r="V253" s="104"/>
      <c r="W253" s="29"/>
    </row>
    <row r="254" spans="1:23" x14ac:dyDescent="0.3">
      <c r="A254" s="49"/>
      <c r="B254" s="49"/>
      <c r="C254" s="49"/>
      <c r="D254" s="94"/>
      <c r="E254" s="85"/>
      <c r="F254" s="86"/>
      <c r="G254" s="88"/>
      <c r="H254" s="87"/>
      <c r="I254" s="87"/>
      <c r="J254" s="123"/>
      <c r="K254" s="140"/>
      <c r="L254" s="130"/>
      <c r="M254" s="129"/>
      <c r="N254" s="76"/>
      <c r="O254" s="144"/>
      <c r="P254" s="6"/>
      <c r="Q254" s="16"/>
      <c r="R254" s="8"/>
      <c r="S254" s="13"/>
      <c r="T254" s="103"/>
      <c r="U254" s="103"/>
      <c r="V254" s="104"/>
      <c r="W254" s="29"/>
    </row>
    <row r="255" spans="1:23" x14ac:dyDescent="0.3">
      <c r="A255" s="49"/>
      <c r="B255" s="49"/>
      <c r="C255" s="49"/>
      <c r="D255" s="94"/>
      <c r="E255" s="85"/>
      <c r="F255" s="86"/>
      <c r="G255" s="89"/>
      <c r="H255" s="84"/>
      <c r="I255" s="84"/>
      <c r="J255" s="119"/>
      <c r="K255" s="140"/>
      <c r="L255" s="131"/>
      <c r="M255" s="129"/>
      <c r="N255" s="76"/>
      <c r="O255" s="144"/>
      <c r="P255" s="6"/>
      <c r="Q255" s="16"/>
      <c r="R255" s="106"/>
      <c r="S255" s="13"/>
      <c r="T255" s="103"/>
      <c r="U255" s="103"/>
      <c r="V255" s="104"/>
      <c r="W255" s="29"/>
    </row>
    <row r="256" spans="1:23" x14ac:dyDescent="0.3">
      <c r="A256" s="49"/>
      <c r="B256" s="49"/>
      <c r="C256" s="49"/>
      <c r="D256" s="94"/>
      <c r="E256" s="85"/>
      <c r="F256" s="86"/>
      <c r="G256" s="88"/>
      <c r="H256" s="87"/>
      <c r="I256" s="87"/>
      <c r="J256" s="123"/>
      <c r="K256" s="140"/>
      <c r="L256" s="130"/>
      <c r="M256" s="129"/>
      <c r="N256" s="76"/>
      <c r="O256" s="144"/>
      <c r="P256" s="6"/>
      <c r="Q256" s="16"/>
      <c r="R256" s="106"/>
      <c r="S256" s="13"/>
      <c r="T256" s="103"/>
      <c r="U256" s="103"/>
      <c r="V256" s="104"/>
      <c r="W256" s="29"/>
    </row>
    <row r="257" spans="1:23" x14ac:dyDescent="0.3">
      <c r="A257" s="49"/>
      <c r="B257" s="49"/>
      <c r="C257" s="49"/>
      <c r="D257" s="94"/>
      <c r="E257" s="85"/>
      <c r="F257" s="86"/>
      <c r="G257" s="88"/>
      <c r="H257" s="87"/>
      <c r="I257" s="87"/>
      <c r="J257" s="123"/>
      <c r="K257" s="140"/>
      <c r="L257" s="130"/>
      <c r="M257" s="129"/>
      <c r="N257" s="76"/>
      <c r="O257" s="144"/>
      <c r="P257" s="6"/>
      <c r="Q257" s="16"/>
      <c r="R257" s="9"/>
      <c r="S257" s="13"/>
      <c r="T257" s="103"/>
      <c r="U257" s="103"/>
      <c r="V257" s="104"/>
      <c r="W257" s="29"/>
    </row>
    <row r="258" spans="1:23" x14ac:dyDescent="0.3">
      <c r="A258" s="49"/>
      <c r="B258" s="49"/>
      <c r="C258" s="49"/>
      <c r="D258" s="94"/>
      <c r="E258" s="85"/>
      <c r="F258" s="86"/>
      <c r="G258" s="88"/>
      <c r="H258" s="87"/>
      <c r="I258" s="87"/>
      <c r="J258" s="123"/>
      <c r="K258" s="140"/>
      <c r="L258" s="130"/>
      <c r="M258" s="129"/>
      <c r="N258" s="76"/>
      <c r="O258" s="144"/>
      <c r="P258" s="6"/>
      <c r="Q258" s="16"/>
      <c r="R258" s="8"/>
      <c r="S258" s="13"/>
      <c r="T258" s="103"/>
      <c r="U258" s="103"/>
      <c r="V258" s="104"/>
      <c r="W258" s="29"/>
    </row>
    <row r="259" spans="1:23" x14ac:dyDescent="0.3">
      <c r="A259" s="49"/>
      <c r="B259" s="49"/>
      <c r="C259" s="49"/>
      <c r="D259" s="94"/>
      <c r="E259" s="85"/>
      <c r="F259" s="86"/>
      <c r="G259" s="88"/>
      <c r="H259" s="87"/>
      <c r="I259" s="87"/>
      <c r="J259" s="123"/>
      <c r="K259" s="140"/>
      <c r="L259" s="130"/>
      <c r="M259" s="129"/>
      <c r="N259" s="76"/>
      <c r="O259" s="144"/>
      <c r="P259" s="6"/>
      <c r="Q259" s="16"/>
      <c r="R259" s="8"/>
      <c r="S259" s="13"/>
      <c r="T259" s="103"/>
      <c r="U259" s="103"/>
      <c r="V259" s="104"/>
      <c r="W259" s="29"/>
    </row>
    <row r="260" spans="1:23" x14ac:dyDescent="0.3">
      <c r="A260" s="49"/>
      <c r="B260" s="49"/>
      <c r="C260" s="49"/>
      <c r="D260" s="94"/>
      <c r="E260" s="85"/>
      <c r="F260" s="86"/>
      <c r="G260" s="89"/>
      <c r="H260" s="84"/>
      <c r="I260" s="84"/>
      <c r="J260" s="119"/>
      <c r="K260" s="140"/>
      <c r="L260" s="131"/>
      <c r="M260" s="124"/>
      <c r="N260" s="74"/>
      <c r="O260" s="194"/>
      <c r="P260" s="6"/>
      <c r="Q260" s="16"/>
      <c r="R260" s="9"/>
      <c r="S260" s="110"/>
      <c r="T260" s="103"/>
      <c r="U260" s="103"/>
      <c r="V260" s="104"/>
      <c r="W260" s="29"/>
    </row>
    <row r="261" spans="1:23" x14ac:dyDescent="0.3">
      <c r="A261" s="49"/>
      <c r="B261" s="49"/>
      <c r="C261" s="49"/>
      <c r="D261" s="94"/>
      <c r="E261" s="89"/>
      <c r="F261" s="84"/>
      <c r="G261" s="85"/>
      <c r="H261" s="86"/>
      <c r="I261" s="87"/>
      <c r="J261" s="123"/>
      <c r="K261" s="140"/>
      <c r="L261" s="130"/>
      <c r="M261" s="129"/>
      <c r="N261" s="76"/>
      <c r="O261" s="194"/>
      <c r="P261" s="6"/>
      <c r="Q261" s="16"/>
      <c r="R261" s="8"/>
      <c r="S261" s="13"/>
      <c r="T261" s="103"/>
      <c r="U261" s="103"/>
      <c r="V261" s="104"/>
      <c r="W261" s="29"/>
    </row>
    <row r="262" spans="1:23" x14ac:dyDescent="0.3">
      <c r="A262" s="49"/>
      <c r="B262" s="49"/>
      <c r="C262" s="49"/>
      <c r="D262" s="94"/>
      <c r="E262" s="85"/>
      <c r="F262" s="86"/>
      <c r="G262" s="85"/>
      <c r="H262" s="86"/>
      <c r="I262" s="87"/>
      <c r="J262" s="123"/>
      <c r="K262" s="140"/>
      <c r="L262" s="130"/>
      <c r="M262" s="129"/>
      <c r="N262" s="76"/>
      <c r="O262" s="144"/>
      <c r="P262" s="6"/>
      <c r="Q262" s="16"/>
      <c r="R262" s="9"/>
      <c r="S262" s="13"/>
      <c r="T262" s="103"/>
      <c r="U262" s="103"/>
      <c r="V262" s="104"/>
      <c r="W262" s="29"/>
    </row>
    <row r="263" spans="1:23" x14ac:dyDescent="0.3">
      <c r="A263" s="49"/>
      <c r="B263" s="49"/>
      <c r="C263" s="49"/>
      <c r="D263" s="94"/>
      <c r="E263" s="85"/>
      <c r="F263" s="86"/>
      <c r="G263" s="88"/>
      <c r="H263" s="87"/>
      <c r="I263" s="87"/>
      <c r="J263" s="123"/>
      <c r="K263" s="140"/>
      <c r="L263" s="130"/>
      <c r="M263" s="129"/>
      <c r="N263" s="76"/>
      <c r="O263" s="144"/>
      <c r="P263" s="6"/>
      <c r="Q263" s="16"/>
      <c r="R263" s="106"/>
      <c r="S263" s="13"/>
      <c r="T263" s="103"/>
      <c r="U263" s="103"/>
      <c r="V263" s="104"/>
      <c r="W263" s="29"/>
    </row>
    <row r="264" spans="1:23" x14ac:dyDescent="0.3">
      <c r="A264" s="49"/>
      <c r="B264" s="49"/>
      <c r="C264" s="49"/>
      <c r="D264" s="94"/>
      <c r="E264" s="85"/>
      <c r="F264" s="86"/>
      <c r="G264" s="88"/>
      <c r="H264" s="87"/>
      <c r="I264" s="87"/>
      <c r="J264" s="123"/>
      <c r="K264" s="140"/>
      <c r="L264" s="130"/>
      <c r="M264" s="129"/>
      <c r="N264" s="76"/>
      <c r="O264" s="144"/>
      <c r="P264" s="6"/>
      <c r="Q264" s="16"/>
      <c r="R264" s="106"/>
      <c r="S264" s="13"/>
      <c r="T264" s="103"/>
      <c r="U264" s="103"/>
      <c r="V264" s="104"/>
      <c r="W264" s="29"/>
    </row>
    <row r="265" spans="1:23" x14ac:dyDescent="0.3">
      <c r="A265" s="49"/>
      <c r="B265" s="49"/>
      <c r="C265" s="49"/>
      <c r="D265" s="94"/>
      <c r="E265" s="85"/>
      <c r="F265" s="86"/>
      <c r="G265" s="88"/>
      <c r="H265" s="87"/>
      <c r="I265" s="87"/>
      <c r="J265" s="123"/>
      <c r="K265" s="140"/>
      <c r="L265" s="130"/>
      <c r="M265" s="129"/>
      <c r="N265" s="76"/>
      <c r="O265" s="144"/>
      <c r="P265" s="6"/>
      <c r="Q265" s="165"/>
      <c r="R265" s="106"/>
      <c r="S265" s="13"/>
      <c r="T265" s="103"/>
      <c r="U265" s="103"/>
      <c r="V265" s="104"/>
      <c r="W265" s="29"/>
    </row>
    <row r="266" spans="1:23" x14ac:dyDescent="0.3">
      <c r="A266" s="49"/>
      <c r="B266" s="49"/>
      <c r="C266" s="49"/>
      <c r="D266" s="94"/>
      <c r="E266" s="85"/>
      <c r="F266" s="86"/>
      <c r="G266" s="89"/>
      <c r="H266" s="84"/>
      <c r="I266" s="87"/>
      <c r="J266" s="123"/>
      <c r="K266" s="140"/>
      <c r="L266" s="130"/>
      <c r="M266" s="124"/>
      <c r="N266" s="74"/>
      <c r="O266" s="194"/>
      <c r="P266" s="6"/>
      <c r="Q266" s="165"/>
      <c r="R266" s="106"/>
      <c r="S266" s="13"/>
      <c r="T266" s="103"/>
      <c r="U266" s="103"/>
      <c r="V266" s="104"/>
      <c r="W266" s="29"/>
    </row>
    <row r="267" spans="1:23" x14ac:dyDescent="0.3">
      <c r="A267" s="49"/>
      <c r="B267" s="49"/>
      <c r="C267" s="49"/>
      <c r="D267" s="94"/>
      <c r="E267" s="85"/>
      <c r="F267" s="86"/>
      <c r="G267" s="88"/>
      <c r="H267" s="87"/>
      <c r="I267" s="87"/>
      <c r="J267" s="123"/>
      <c r="K267" s="140"/>
      <c r="L267" s="130"/>
      <c r="M267" s="124"/>
      <c r="N267" s="74"/>
      <c r="O267" s="194"/>
      <c r="P267" s="6"/>
      <c r="Q267" s="16"/>
      <c r="R267" s="106"/>
      <c r="S267" s="13"/>
      <c r="T267" s="103"/>
      <c r="U267" s="103"/>
      <c r="V267" s="104"/>
      <c r="W267" s="29"/>
    </row>
    <row r="268" spans="1:23" x14ac:dyDescent="0.3">
      <c r="A268" s="49"/>
      <c r="B268" s="49"/>
      <c r="C268" s="49"/>
      <c r="D268" s="94"/>
      <c r="G268" s="88"/>
      <c r="H268" s="87"/>
      <c r="I268" s="87"/>
      <c r="J268" s="123"/>
      <c r="K268" s="140"/>
      <c r="L268" s="130"/>
      <c r="M268" s="129"/>
      <c r="N268" s="76"/>
      <c r="O268" s="144"/>
      <c r="P268" s="6"/>
      <c r="Q268" s="16"/>
      <c r="R268" s="106"/>
      <c r="S268" s="13"/>
      <c r="T268" s="103"/>
      <c r="U268" s="103"/>
      <c r="V268" s="104"/>
      <c r="W268" s="29"/>
    </row>
    <row r="269" spans="1:23" x14ac:dyDescent="0.3">
      <c r="A269" s="49"/>
      <c r="B269" s="49"/>
      <c r="C269" s="49"/>
      <c r="D269" s="94"/>
      <c r="E269" s="85"/>
      <c r="F269" s="86"/>
      <c r="G269" s="88"/>
      <c r="H269" s="87"/>
      <c r="I269" s="87"/>
      <c r="J269" s="123"/>
      <c r="K269" s="140"/>
      <c r="L269" s="130"/>
      <c r="M269" s="129"/>
      <c r="N269" s="76"/>
      <c r="O269" s="144"/>
      <c r="P269" s="6"/>
      <c r="Q269" s="16"/>
      <c r="R269" s="106"/>
      <c r="S269" s="13"/>
      <c r="T269" s="103"/>
      <c r="U269" s="103"/>
      <c r="V269" s="104"/>
      <c r="W269" s="29"/>
    </row>
    <row r="270" spans="1:23" x14ac:dyDescent="0.3">
      <c r="A270" s="49"/>
      <c r="B270" s="49"/>
      <c r="C270" s="49"/>
      <c r="D270" s="94"/>
      <c r="E270" s="85"/>
      <c r="F270" s="86"/>
      <c r="G270" s="88"/>
      <c r="H270" s="87"/>
      <c r="I270" s="87"/>
      <c r="J270" s="123"/>
      <c r="K270" s="140"/>
      <c r="L270" s="130"/>
      <c r="M270" s="129"/>
      <c r="N270" s="76"/>
      <c r="O270" s="144"/>
      <c r="P270" s="6"/>
      <c r="Q270" s="16"/>
      <c r="R270" s="106"/>
      <c r="S270" s="13"/>
      <c r="T270" s="103"/>
      <c r="U270" s="103"/>
      <c r="V270" s="104"/>
      <c r="W270" s="29"/>
    </row>
    <row r="271" spans="1:23" x14ac:dyDescent="0.3">
      <c r="A271" s="49"/>
      <c r="B271" s="49"/>
      <c r="C271" s="49"/>
      <c r="D271" s="94"/>
      <c r="E271" s="85"/>
      <c r="F271" s="86"/>
      <c r="G271" s="88"/>
      <c r="H271" s="87"/>
      <c r="I271" s="87"/>
      <c r="J271" s="123"/>
      <c r="K271" s="140"/>
      <c r="L271" s="130"/>
      <c r="M271" s="118"/>
      <c r="N271" s="78"/>
      <c r="O271" s="216"/>
      <c r="P271" s="6"/>
      <c r="Q271" s="16"/>
      <c r="R271" s="106"/>
      <c r="S271" s="13"/>
      <c r="T271" s="103"/>
      <c r="U271" s="103"/>
      <c r="V271" s="104"/>
      <c r="W271" s="29"/>
    </row>
    <row r="272" spans="1:23" x14ac:dyDescent="0.3">
      <c r="A272" s="49"/>
      <c r="B272" s="49"/>
      <c r="C272" s="49"/>
      <c r="D272" s="94"/>
      <c r="E272" s="85"/>
      <c r="F272" s="86"/>
      <c r="G272" s="88"/>
      <c r="H272" s="87"/>
      <c r="I272" s="87"/>
      <c r="J272" s="123"/>
      <c r="K272" s="138"/>
      <c r="L272" s="130"/>
      <c r="M272" s="122"/>
      <c r="N272" s="79"/>
      <c r="O272" s="216"/>
      <c r="P272" s="6"/>
      <c r="Q272" s="192"/>
      <c r="R272" s="59"/>
      <c r="S272" s="13"/>
      <c r="T272" s="13"/>
      <c r="U272" s="13"/>
      <c r="V272" s="17"/>
      <c r="W272" s="209"/>
    </row>
    <row r="273" spans="1:23" x14ac:dyDescent="0.3">
      <c r="A273" s="33"/>
      <c r="B273" s="33"/>
      <c r="C273" s="33"/>
      <c r="D273" s="96"/>
      <c r="E273" s="89"/>
      <c r="F273" s="84"/>
      <c r="G273" s="85"/>
      <c r="H273" s="86"/>
      <c r="I273" s="87"/>
      <c r="J273" s="123"/>
      <c r="K273" s="138"/>
      <c r="L273" s="130"/>
      <c r="M273" s="118"/>
      <c r="N273" s="78"/>
      <c r="O273" s="216"/>
      <c r="P273" s="6"/>
      <c r="Q273" s="165"/>
      <c r="R273" s="9"/>
      <c r="S273" s="13"/>
      <c r="T273" s="110"/>
      <c r="U273" s="13"/>
      <c r="V273" s="108"/>
      <c r="W273" s="29"/>
    </row>
    <row r="274" spans="1:23" x14ac:dyDescent="0.3">
      <c r="A274" s="1"/>
      <c r="B274" s="1"/>
      <c r="C274" s="1"/>
      <c r="D274" s="4"/>
      <c r="E274" s="85"/>
      <c r="F274" s="86"/>
      <c r="G274" s="88"/>
      <c r="H274" s="87"/>
      <c r="I274" s="87"/>
      <c r="J274" s="123"/>
      <c r="K274" s="138"/>
      <c r="L274" s="130"/>
      <c r="M274" s="118"/>
      <c r="N274" s="78"/>
      <c r="O274" s="216"/>
      <c r="P274" s="6"/>
      <c r="Q274" s="16"/>
      <c r="R274" s="8"/>
      <c r="S274" s="13"/>
      <c r="T274" s="13"/>
      <c r="U274" s="13"/>
      <c r="V274" s="108"/>
      <c r="W274" s="29"/>
    </row>
    <row r="275" spans="1:23" x14ac:dyDescent="0.3">
      <c r="A275" s="1"/>
      <c r="B275" s="1"/>
      <c r="C275" s="1"/>
      <c r="D275" s="4"/>
      <c r="E275" s="89"/>
      <c r="F275" s="84"/>
      <c r="G275" s="88"/>
      <c r="H275" s="87"/>
      <c r="I275" s="87"/>
      <c r="J275" s="123"/>
      <c r="K275" s="138"/>
      <c r="L275" s="130"/>
      <c r="M275" s="128"/>
      <c r="N275" s="75"/>
      <c r="O275" s="152"/>
      <c r="P275" s="6"/>
      <c r="Q275" s="16"/>
      <c r="R275" s="8"/>
      <c r="S275" s="13"/>
      <c r="T275" s="13"/>
      <c r="U275" s="13"/>
      <c r="V275" s="102"/>
      <c r="W275" s="29"/>
    </row>
    <row r="276" spans="1:23" x14ac:dyDescent="0.3">
      <c r="A276" s="1"/>
      <c r="B276" s="1"/>
      <c r="C276" s="1"/>
      <c r="D276" s="4"/>
      <c r="E276" s="89"/>
      <c r="F276" s="84"/>
      <c r="G276" s="88"/>
      <c r="H276" s="87"/>
      <c r="I276" s="87"/>
      <c r="J276" s="123"/>
      <c r="K276" s="138"/>
      <c r="L276" s="130"/>
      <c r="M276" s="118"/>
      <c r="N276" s="78"/>
      <c r="O276" s="216"/>
      <c r="P276" s="6"/>
      <c r="Q276" s="16"/>
      <c r="R276" s="9"/>
      <c r="S276" s="13"/>
      <c r="T276" s="13"/>
      <c r="U276" s="13"/>
      <c r="V276" s="102"/>
      <c r="W276" s="29"/>
    </row>
    <row r="277" spans="1:23" x14ac:dyDescent="0.3">
      <c r="A277" s="1"/>
      <c r="B277" s="1"/>
      <c r="C277" s="1"/>
      <c r="D277" s="4"/>
      <c r="E277" s="89"/>
      <c r="F277" s="84"/>
    </row>
  </sheetData>
  <mergeCells count="10">
    <mergeCell ref="S87:U87"/>
    <mergeCell ref="S48:U48"/>
    <mergeCell ref="S25:U25"/>
    <mergeCell ref="A1:D1"/>
    <mergeCell ref="E1:H1"/>
    <mergeCell ref="M1:N1"/>
    <mergeCell ref="P1:Q1"/>
    <mergeCell ref="R1:R2"/>
    <mergeCell ref="S1:U1"/>
    <mergeCell ref="S44:U4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U76"/>
  <sheetViews>
    <sheetView workbookViewId="0">
      <selection activeCell="E6" sqref="E6"/>
    </sheetView>
  </sheetViews>
  <sheetFormatPr defaultRowHeight="14.4" x14ac:dyDescent="0.3"/>
  <cols>
    <col min="1" max="1" width="10.6640625" style="195" customWidth="1"/>
    <col min="2" max="2" width="7.44140625" style="205" customWidth="1"/>
    <col min="3" max="3" width="13.109375" style="195" customWidth="1"/>
    <col min="4" max="4" width="23.44140625" style="136" customWidth="1"/>
    <col min="5" max="5" width="8.88671875" style="205"/>
    <col min="6" max="6" width="8.88671875" style="195"/>
    <col min="7" max="8" width="8.88671875" style="205"/>
    <col min="9" max="9" width="22.33203125" style="195" customWidth="1"/>
    <col min="10" max="10" width="9.109375" style="195" customWidth="1"/>
    <col min="11" max="16384" width="8.88671875" style="195"/>
  </cols>
  <sheetData>
    <row r="1" spans="1:21" ht="18" x14ac:dyDescent="0.35">
      <c r="A1" s="220"/>
      <c r="B1" s="220"/>
      <c r="C1" s="220"/>
      <c r="D1" s="135" t="s">
        <v>162</v>
      </c>
      <c r="E1" s="220"/>
      <c r="G1" s="45"/>
      <c r="H1" s="45"/>
      <c r="I1" s="46"/>
      <c r="J1" s="45"/>
    </row>
    <row r="2" spans="1:21" x14ac:dyDescent="0.3">
      <c r="A2" s="14" t="s">
        <v>132</v>
      </c>
      <c r="B2" s="14"/>
      <c r="C2" s="11"/>
      <c r="D2" s="137"/>
      <c r="E2" s="11"/>
      <c r="F2" s="23"/>
      <c r="G2" s="20" t="s">
        <v>133</v>
      </c>
      <c r="H2" s="20"/>
      <c r="I2" s="43"/>
      <c r="J2" s="44"/>
      <c r="M2" t="s">
        <v>202</v>
      </c>
    </row>
    <row r="3" spans="1:21" x14ac:dyDescent="0.3">
      <c r="A3" s="40" t="s">
        <v>46</v>
      </c>
      <c r="B3" s="40" t="s">
        <v>0</v>
      </c>
      <c r="C3" s="40" t="s">
        <v>47</v>
      </c>
      <c r="D3" s="134" t="s">
        <v>48</v>
      </c>
      <c r="E3" s="41" t="s">
        <v>49</v>
      </c>
      <c r="G3" s="40" t="s">
        <v>46</v>
      </c>
      <c r="H3" s="40" t="s">
        <v>0</v>
      </c>
      <c r="I3" s="48" t="s">
        <v>134</v>
      </c>
      <c r="J3" s="22" t="s">
        <v>49</v>
      </c>
      <c r="M3" s="195" t="s">
        <v>153</v>
      </c>
    </row>
    <row r="4" spans="1:21" ht="28.8" x14ac:dyDescent="0.3">
      <c r="A4" s="210">
        <v>10091</v>
      </c>
      <c r="B4" s="220" t="s">
        <v>2</v>
      </c>
      <c r="C4" s="247" t="s">
        <v>159</v>
      </c>
      <c r="D4" s="27">
        <v>43294</v>
      </c>
      <c r="E4" s="209">
        <v>12.966746000000001</v>
      </c>
      <c r="F4" s="218"/>
      <c r="G4" s="24">
        <v>10947</v>
      </c>
      <c r="H4" s="220" t="s">
        <v>2</v>
      </c>
      <c r="I4" s="220" t="s">
        <v>158</v>
      </c>
      <c r="J4" s="209">
        <v>12.966746000000001</v>
      </c>
      <c r="K4" s="219"/>
      <c r="M4" s="235" t="s">
        <v>203</v>
      </c>
    </row>
    <row r="5" spans="1:21" ht="28.8" x14ac:dyDescent="0.3">
      <c r="A5" s="210">
        <v>10107</v>
      </c>
      <c r="B5" s="220" t="s">
        <v>2</v>
      </c>
      <c r="C5" s="246" t="s">
        <v>157</v>
      </c>
      <c r="D5" s="27">
        <v>43060</v>
      </c>
      <c r="E5" s="209">
        <v>2.5773470000000001</v>
      </c>
      <c r="F5" s="218"/>
      <c r="G5" s="220">
        <v>10957</v>
      </c>
      <c r="H5" s="220" t="s">
        <v>2</v>
      </c>
      <c r="I5" s="220" t="s">
        <v>163</v>
      </c>
      <c r="J5" s="209">
        <v>2.5773470000000001</v>
      </c>
      <c r="K5" s="219"/>
      <c r="M5" s="235" t="s">
        <v>152</v>
      </c>
      <c r="N5" s="235"/>
      <c r="O5" s="235"/>
      <c r="P5" s="235"/>
      <c r="Q5" s="235"/>
      <c r="R5" s="235"/>
      <c r="S5" s="235"/>
      <c r="T5" s="235"/>
      <c r="U5" s="235"/>
    </row>
    <row r="6" spans="1:21" x14ac:dyDescent="0.3">
      <c r="A6" s="210">
        <v>10946</v>
      </c>
      <c r="B6" s="220" t="s">
        <v>2</v>
      </c>
      <c r="C6" s="27" t="s">
        <v>144</v>
      </c>
      <c r="D6" s="27">
        <v>24990</v>
      </c>
      <c r="E6" s="29">
        <v>46.3309</v>
      </c>
      <c r="F6" s="218"/>
      <c r="G6" s="24">
        <v>10975</v>
      </c>
      <c r="H6" s="220" t="s">
        <v>2</v>
      </c>
      <c r="I6" s="220" t="s">
        <v>164</v>
      </c>
      <c r="J6" s="209">
        <v>46.3309</v>
      </c>
      <c r="K6" s="219"/>
    </row>
    <row r="7" spans="1:21" x14ac:dyDescent="0.3">
      <c r="A7" s="210">
        <v>10946</v>
      </c>
      <c r="B7" s="220" t="s">
        <v>2</v>
      </c>
      <c r="C7" s="27" t="s">
        <v>147</v>
      </c>
      <c r="D7" s="27">
        <v>38639</v>
      </c>
      <c r="E7" s="29">
        <v>1.4190309999999999</v>
      </c>
      <c r="F7" s="218"/>
      <c r="G7" s="24">
        <v>10976</v>
      </c>
      <c r="H7" s="220" t="s">
        <v>2</v>
      </c>
      <c r="I7" s="220" t="s">
        <v>165</v>
      </c>
      <c r="J7" s="209">
        <v>1.4190309999999999</v>
      </c>
      <c r="K7" s="219"/>
    </row>
    <row r="8" spans="1:21" x14ac:dyDescent="0.3">
      <c r="A8" s="210">
        <v>10946</v>
      </c>
      <c r="B8" s="220" t="s">
        <v>2</v>
      </c>
      <c r="C8" s="27" t="s">
        <v>144</v>
      </c>
      <c r="D8" s="27">
        <v>24990</v>
      </c>
      <c r="E8" s="29">
        <v>1.4190309999999999</v>
      </c>
      <c r="F8" s="218"/>
      <c r="G8" s="176"/>
      <c r="H8" s="211"/>
      <c r="I8" s="143"/>
      <c r="J8" s="153">
        <f>SUM(J4:J7)</f>
        <v>63.294024</v>
      </c>
      <c r="K8" s="219"/>
    </row>
    <row r="9" spans="1:21" x14ac:dyDescent="0.3">
      <c r="A9" s="210"/>
      <c r="B9" s="220"/>
      <c r="C9" s="27"/>
      <c r="D9" s="27"/>
      <c r="E9" s="209">
        <f>SUM(E6:E8)</f>
        <v>49.168961999999993</v>
      </c>
      <c r="F9" s="218"/>
      <c r="G9" s="38">
        <v>8148</v>
      </c>
      <c r="H9" s="220" t="s">
        <v>40</v>
      </c>
      <c r="I9" s="24" t="s">
        <v>150</v>
      </c>
      <c r="J9" s="209">
        <v>0.85848000000000002</v>
      </c>
      <c r="K9" s="219"/>
    </row>
    <row r="10" spans="1:21" ht="28.8" x14ac:dyDescent="0.3">
      <c r="A10" s="210">
        <v>10947</v>
      </c>
      <c r="B10" s="220" t="s">
        <v>2</v>
      </c>
      <c r="C10" s="248" t="s">
        <v>158</v>
      </c>
      <c r="D10" s="27">
        <v>43031</v>
      </c>
      <c r="E10" s="221">
        <v>10.692731999999999</v>
      </c>
      <c r="F10" s="218"/>
      <c r="G10" s="24">
        <v>8820</v>
      </c>
      <c r="H10" s="220" t="s">
        <v>40</v>
      </c>
      <c r="I10" s="24" t="s">
        <v>151</v>
      </c>
      <c r="J10" s="209">
        <v>4.674944</v>
      </c>
    </row>
    <row r="11" spans="1:21" x14ac:dyDescent="0.3">
      <c r="A11" s="210">
        <v>10947</v>
      </c>
      <c r="B11" s="220" t="s">
        <v>2</v>
      </c>
      <c r="C11" s="220" t="s">
        <v>144</v>
      </c>
      <c r="D11" s="27">
        <v>27181</v>
      </c>
      <c r="E11" s="221">
        <v>18.275835000000001</v>
      </c>
      <c r="F11" s="218"/>
      <c r="G11" s="38">
        <v>9849</v>
      </c>
      <c r="H11" s="220" t="s">
        <v>40</v>
      </c>
      <c r="I11" s="38" t="s">
        <v>154</v>
      </c>
      <c r="J11" s="209">
        <v>20.033548</v>
      </c>
    </row>
    <row r="12" spans="1:21" x14ac:dyDescent="0.3">
      <c r="A12" s="210"/>
      <c r="B12" s="220"/>
      <c r="C12" s="220"/>
      <c r="D12" s="27"/>
      <c r="E12" s="209">
        <f>SUM(E10:E11)</f>
        <v>28.968567</v>
      </c>
      <c r="F12" s="218"/>
      <c r="G12" s="38">
        <v>9851</v>
      </c>
      <c r="H12" s="220" t="s">
        <v>40</v>
      </c>
      <c r="I12" s="38" t="s">
        <v>148</v>
      </c>
      <c r="J12" s="29">
        <v>5.0690270000000002</v>
      </c>
      <c r="K12" s="219"/>
    </row>
    <row r="13" spans="1:21" x14ac:dyDescent="0.3">
      <c r="A13" s="210">
        <v>10950</v>
      </c>
      <c r="B13" s="220" t="s">
        <v>2</v>
      </c>
      <c r="C13" s="220" t="s">
        <v>160</v>
      </c>
      <c r="D13" s="27">
        <v>37469</v>
      </c>
      <c r="E13" s="209">
        <v>1.2331780000000001</v>
      </c>
      <c r="F13" s="218"/>
      <c r="G13" s="38">
        <v>9851</v>
      </c>
      <c r="H13" s="220" t="s">
        <v>40</v>
      </c>
      <c r="I13" s="38" t="s">
        <v>155</v>
      </c>
      <c r="J13" s="29">
        <v>0.413663</v>
      </c>
      <c r="K13" s="219"/>
    </row>
    <row r="14" spans="1:21" x14ac:dyDescent="0.3">
      <c r="A14" s="210">
        <v>10957</v>
      </c>
      <c r="B14" s="220" t="s">
        <v>2</v>
      </c>
      <c r="C14" s="220" t="s">
        <v>156</v>
      </c>
      <c r="D14" s="27">
        <v>42002</v>
      </c>
      <c r="E14" s="209">
        <v>0.18808900000000001</v>
      </c>
      <c r="F14" s="218"/>
      <c r="G14" s="38"/>
      <c r="H14" s="28"/>
      <c r="I14" s="38"/>
      <c r="J14" s="209">
        <f>SUM(J12:J13)</f>
        <v>5.4826899999999998</v>
      </c>
      <c r="K14" s="219"/>
    </row>
    <row r="15" spans="1:21" x14ac:dyDescent="0.3">
      <c r="A15" s="210">
        <v>10973</v>
      </c>
      <c r="B15" s="220" t="s">
        <v>2</v>
      </c>
      <c r="C15" s="220" t="s">
        <v>156</v>
      </c>
      <c r="D15" s="27">
        <v>31444</v>
      </c>
      <c r="E15" s="209">
        <v>10.020156</v>
      </c>
      <c r="F15" s="218"/>
      <c r="G15" s="163"/>
      <c r="H15" s="179"/>
      <c r="I15" s="163"/>
      <c r="J15" s="169">
        <f>SUM(J9:J11)+J14</f>
        <v>31.049661999999998</v>
      </c>
      <c r="K15" s="219"/>
    </row>
    <row r="16" spans="1:21" x14ac:dyDescent="0.3">
      <c r="A16" s="210">
        <v>10975</v>
      </c>
      <c r="B16" s="220" t="s">
        <v>2</v>
      </c>
      <c r="C16" s="220" t="s">
        <v>156</v>
      </c>
      <c r="D16" s="27">
        <v>43313</v>
      </c>
      <c r="E16" s="209">
        <v>1.996397</v>
      </c>
      <c r="F16" s="218"/>
      <c r="G16" s="220">
        <v>21687</v>
      </c>
      <c r="H16" s="220" t="s">
        <v>128</v>
      </c>
      <c r="I16" s="220" t="s">
        <v>184</v>
      </c>
      <c r="J16" s="47">
        <v>4.9011709999999997</v>
      </c>
      <c r="K16" s="219"/>
    </row>
    <row r="17" spans="1:11" x14ac:dyDescent="0.3">
      <c r="A17" s="210">
        <v>10976</v>
      </c>
      <c r="B17" s="220" t="s">
        <v>2</v>
      </c>
      <c r="C17" s="220" t="s">
        <v>161</v>
      </c>
      <c r="D17" s="27">
        <v>35278</v>
      </c>
      <c r="E17" s="221">
        <v>0.25502599999999997</v>
      </c>
      <c r="F17" s="218"/>
      <c r="G17" s="220">
        <v>21688</v>
      </c>
      <c r="H17" s="220" t="s">
        <v>128</v>
      </c>
      <c r="I17" s="220" t="s">
        <v>185</v>
      </c>
      <c r="J17" s="47">
        <v>8.8588710000000006</v>
      </c>
      <c r="K17" s="219"/>
    </row>
    <row r="18" spans="1:11" x14ac:dyDescent="0.3">
      <c r="A18" s="210">
        <v>10976</v>
      </c>
      <c r="B18" s="220" t="s">
        <v>2</v>
      </c>
      <c r="C18" s="220" t="s">
        <v>161</v>
      </c>
      <c r="D18" s="27">
        <v>35309</v>
      </c>
      <c r="E18" s="221">
        <v>1.415516</v>
      </c>
      <c r="F18" s="218"/>
      <c r="G18" s="220">
        <v>21693</v>
      </c>
      <c r="H18" s="220" t="s">
        <v>128</v>
      </c>
      <c r="I18" s="220" t="s">
        <v>186</v>
      </c>
      <c r="J18" s="47">
        <v>0.13342499999999999</v>
      </c>
      <c r="K18" s="219"/>
    </row>
    <row r="19" spans="1:11" s="249" customFormat="1" x14ac:dyDescent="0.3">
      <c r="A19" s="210">
        <v>10976</v>
      </c>
      <c r="B19" s="220" t="s">
        <v>2</v>
      </c>
      <c r="C19" s="220" t="s">
        <v>156</v>
      </c>
      <c r="D19" s="27">
        <v>43087</v>
      </c>
      <c r="E19" s="221">
        <v>11.454343</v>
      </c>
      <c r="F19" s="218"/>
      <c r="G19" s="38">
        <v>21697</v>
      </c>
      <c r="H19" s="220" t="s">
        <v>128</v>
      </c>
      <c r="I19" s="38" t="s">
        <v>187</v>
      </c>
      <c r="J19" s="47">
        <v>2.1451720000000001</v>
      </c>
      <c r="K19" s="219"/>
    </row>
    <row r="20" spans="1:11" x14ac:dyDescent="0.3">
      <c r="A20" s="210"/>
      <c r="B20" s="220"/>
      <c r="C20" s="27"/>
      <c r="D20" s="27"/>
      <c r="E20" s="209">
        <f>SUM(E17:E19)</f>
        <v>13.124884999999999</v>
      </c>
      <c r="F20" s="218"/>
      <c r="G20" s="24">
        <v>21698</v>
      </c>
      <c r="H20" s="220" t="s">
        <v>128</v>
      </c>
      <c r="I20" s="24" t="s">
        <v>187</v>
      </c>
      <c r="J20" s="47">
        <v>7.1485900000000004</v>
      </c>
      <c r="K20" s="219"/>
    </row>
    <row r="21" spans="1:11" x14ac:dyDescent="0.3">
      <c r="A21" s="143"/>
      <c r="B21" s="211"/>
      <c r="C21" s="143"/>
      <c r="D21" s="173"/>
      <c r="E21" s="153">
        <f>SUM(E4:E5)+E9+(SUM(E12:E16))+E20</f>
        <v>120.244327</v>
      </c>
      <c r="G21" s="220">
        <v>21700</v>
      </c>
      <c r="H21" s="220" t="s">
        <v>128</v>
      </c>
      <c r="I21" s="220" t="s">
        <v>187</v>
      </c>
      <c r="J21" s="255">
        <v>4.5913919999999999</v>
      </c>
    </row>
    <row r="22" spans="1:11" x14ac:dyDescent="0.3">
      <c r="A22" s="210">
        <v>8151</v>
      </c>
      <c r="B22" s="220" t="s">
        <v>40</v>
      </c>
      <c r="C22" s="27" t="s">
        <v>136</v>
      </c>
      <c r="D22" s="27">
        <v>31291</v>
      </c>
      <c r="E22" s="209">
        <v>0.99967099999999998</v>
      </c>
      <c r="G22" s="220">
        <v>21700</v>
      </c>
      <c r="H22" s="220" t="s">
        <v>128</v>
      </c>
      <c r="I22" s="220" t="s">
        <v>187</v>
      </c>
      <c r="J22" s="255">
        <v>0.68852100000000005</v>
      </c>
    </row>
    <row r="23" spans="1:11" x14ac:dyDescent="0.3">
      <c r="A23" s="210">
        <v>8160</v>
      </c>
      <c r="B23" s="220" t="s">
        <v>40</v>
      </c>
      <c r="C23" s="27" t="s">
        <v>140</v>
      </c>
      <c r="D23" s="27">
        <v>39048</v>
      </c>
      <c r="E23" s="29">
        <v>3.507056</v>
      </c>
      <c r="G23" s="220"/>
      <c r="H23" s="220"/>
      <c r="I23" s="220"/>
      <c r="J23" s="209">
        <f>SUM(J21:J22)</f>
        <v>5.2799129999999996</v>
      </c>
    </row>
    <row r="24" spans="1:11" x14ac:dyDescent="0.3">
      <c r="A24" s="210">
        <v>8160</v>
      </c>
      <c r="B24" s="220" t="s">
        <v>40</v>
      </c>
      <c r="C24" s="27" t="s">
        <v>139</v>
      </c>
      <c r="D24" s="27">
        <v>39064</v>
      </c>
      <c r="E24" s="221">
        <v>3.5716559999999999</v>
      </c>
      <c r="G24" s="220">
        <v>21701</v>
      </c>
      <c r="H24" s="220" t="s">
        <v>128</v>
      </c>
      <c r="I24" s="220" t="s">
        <v>178</v>
      </c>
      <c r="J24" s="47">
        <v>2.8967640000000001</v>
      </c>
    </row>
    <row r="25" spans="1:11" x14ac:dyDescent="0.3">
      <c r="A25" s="210"/>
      <c r="B25" s="220"/>
      <c r="C25" s="27"/>
      <c r="D25" s="27"/>
      <c r="E25" s="209">
        <f>SUM(E23:E24)</f>
        <v>7.0787119999999994</v>
      </c>
      <c r="G25" s="220">
        <v>21702</v>
      </c>
      <c r="H25" s="220" t="s">
        <v>128</v>
      </c>
      <c r="I25" s="220" t="s">
        <v>188</v>
      </c>
      <c r="J25" s="47">
        <v>2.0856270000000001</v>
      </c>
    </row>
    <row r="26" spans="1:11" x14ac:dyDescent="0.3">
      <c r="A26" s="210">
        <v>8803</v>
      </c>
      <c r="B26" s="220" t="s">
        <v>40</v>
      </c>
      <c r="C26" s="27" t="s">
        <v>141</v>
      </c>
      <c r="D26" s="27">
        <v>35916</v>
      </c>
      <c r="E26" s="29">
        <v>2.9503330000000001</v>
      </c>
      <c r="G26" s="220">
        <v>21703</v>
      </c>
      <c r="H26" s="220" t="s">
        <v>128</v>
      </c>
      <c r="I26" s="220" t="s">
        <v>178</v>
      </c>
      <c r="J26" s="255">
        <v>1.183981</v>
      </c>
    </row>
    <row r="27" spans="1:11" x14ac:dyDescent="0.3">
      <c r="A27" s="210">
        <v>8803</v>
      </c>
      <c r="B27" s="220" t="s">
        <v>40</v>
      </c>
      <c r="C27" s="27" t="s">
        <v>142</v>
      </c>
      <c r="D27" s="27">
        <v>36008</v>
      </c>
      <c r="E27" s="244">
        <v>8.1891000000000005E-2</v>
      </c>
      <c r="G27" s="220">
        <v>21703</v>
      </c>
      <c r="H27" s="220" t="s">
        <v>128</v>
      </c>
      <c r="I27" s="220" t="s">
        <v>179</v>
      </c>
      <c r="J27" s="255">
        <v>8.7179780000000004</v>
      </c>
    </row>
    <row r="28" spans="1:11" x14ac:dyDescent="0.3">
      <c r="A28" s="210"/>
      <c r="B28" s="220"/>
      <c r="C28" s="27"/>
      <c r="D28" s="27"/>
      <c r="E28" s="209">
        <f>SUM(E26:E27)</f>
        <v>3.0322240000000003</v>
      </c>
      <c r="G28" s="220">
        <v>21703</v>
      </c>
      <c r="H28" s="220" t="s">
        <v>128</v>
      </c>
      <c r="I28" s="220" t="s">
        <v>178</v>
      </c>
      <c r="J28" s="255">
        <v>3.812176</v>
      </c>
    </row>
    <row r="29" spans="1:11" x14ac:dyDescent="0.3">
      <c r="A29" s="210">
        <v>8804</v>
      </c>
      <c r="B29" s="220" t="s">
        <v>40</v>
      </c>
      <c r="C29" s="27" t="s">
        <v>143</v>
      </c>
      <c r="D29" s="27">
        <v>38261</v>
      </c>
      <c r="E29" s="209">
        <v>3.01905</v>
      </c>
      <c r="G29" s="220">
        <v>21703</v>
      </c>
      <c r="H29" s="220" t="s">
        <v>128</v>
      </c>
      <c r="I29" s="220" t="s">
        <v>179</v>
      </c>
      <c r="J29" s="255">
        <v>4.0001509999999998</v>
      </c>
    </row>
    <row r="30" spans="1:11" x14ac:dyDescent="0.3">
      <c r="A30" s="210">
        <v>8807</v>
      </c>
      <c r="B30" s="220" t="s">
        <v>40</v>
      </c>
      <c r="C30" s="27" t="s">
        <v>144</v>
      </c>
      <c r="D30" s="27">
        <v>27181</v>
      </c>
      <c r="E30" s="29">
        <v>8.4155080000000009</v>
      </c>
      <c r="G30" s="220"/>
      <c r="H30" s="220"/>
      <c r="I30" s="220"/>
      <c r="J30" s="250">
        <f>SUM(J26:J29)</f>
        <v>17.714285999999998</v>
      </c>
    </row>
    <row r="31" spans="1:11" x14ac:dyDescent="0.3">
      <c r="A31" s="210">
        <v>8807</v>
      </c>
      <c r="B31" s="220" t="s">
        <v>40</v>
      </c>
      <c r="C31" s="27" t="s">
        <v>144</v>
      </c>
      <c r="D31" s="27">
        <v>24259</v>
      </c>
      <c r="E31" s="29">
        <v>0.54418900000000003</v>
      </c>
      <c r="G31" s="220">
        <v>21704</v>
      </c>
      <c r="H31" s="220" t="s">
        <v>128</v>
      </c>
      <c r="I31" s="220" t="s">
        <v>189</v>
      </c>
      <c r="J31" s="255">
        <v>8.5266999999999996E-2</v>
      </c>
    </row>
    <row r="32" spans="1:11" x14ac:dyDescent="0.3">
      <c r="A32" s="210"/>
      <c r="B32" s="220"/>
      <c r="C32" s="27"/>
      <c r="D32" s="27"/>
      <c r="E32" s="209">
        <f>SUM(E30:E31)</f>
        <v>8.9596970000000002</v>
      </c>
      <c r="G32" s="220">
        <v>21704</v>
      </c>
      <c r="H32" s="220" t="s">
        <v>128</v>
      </c>
      <c r="I32" s="220" t="s">
        <v>190</v>
      </c>
      <c r="J32" s="255">
        <v>18.35924</v>
      </c>
    </row>
    <row r="33" spans="1:10" x14ac:dyDescent="0.3">
      <c r="A33" s="210">
        <v>8848</v>
      </c>
      <c r="B33" s="220" t="s">
        <v>40</v>
      </c>
      <c r="C33" s="27" t="s">
        <v>145</v>
      </c>
      <c r="D33" s="27">
        <v>36039</v>
      </c>
      <c r="E33" s="209">
        <v>0.104694</v>
      </c>
      <c r="G33" s="220"/>
      <c r="H33" s="220"/>
      <c r="I33" s="206"/>
      <c r="J33" s="250">
        <f>SUM(J31:J32)</f>
        <v>18.444507000000002</v>
      </c>
    </row>
    <row r="34" spans="1:10" x14ac:dyDescent="0.3">
      <c r="A34" s="210">
        <v>9850</v>
      </c>
      <c r="B34" s="220" t="s">
        <v>40</v>
      </c>
      <c r="C34" s="27" t="s">
        <v>146</v>
      </c>
      <c r="D34" s="27">
        <v>37865</v>
      </c>
      <c r="E34" s="29">
        <v>0.39700200000000002</v>
      </c>
      <c r="G34" s="163"/>
      <c r="H34" s="179"/>
      <c r="I34" s="163"/>
      <c r="J34" s="169">
        <f>SUM(J16:J20)+J23+J24+J25+J30+J33</f>
        <v>69.608326000000005</v>
      </c>
    </row>
    <row r="35" spans="1:10" x14ac:dyDescent="0.3">
      <c r="A35" s="210">
        <v>9850</v>
      </c>
      <c r="B35" s="220" t="s">
        <v>40</v>
      </c>
      <c r="C35" s="27"/>
      <c r="D35" s="27">
        <v>26085</v>
      </c>
      <c r="E35" s="29">
        <v>2.5494690000000002</v>
      </c>
    </row>
    <row r="36" spans="1:10" x14ac:dyDescent="0.3">
      <c r="A36" s="210"/>
      <c r="B36" s="220"/>
      <c r="C36" s="27"/>
      <c r="D36" s="27"/>
      <c r="E36" s="209">
        <f>SUM(E34:E35)</f>
        <v>2.9464710000000003</v>
      </c>
    </row>
    <row r="37" spans="1:10" x14ac:dyDescent="0.3">
      <c r="A37" s="210">
        <v>9851</v>
      </c>
      <c r="B37" s="220" t="s">
        <v>40</v>
      </c>
      <c r="C37" s="27" t="s">
        <v>147</v>
      </c>
      <c r="D37" s="27">
        <v>34516</v>
      </c>
      <c r="E37" s="29">
        <v>7.6209600000000002</v>
      </c>
    </row>
    <row r="38" spans="1:10" x14ac:dyDescent="0.3">
      <c r="A38" s="210">
        <v>9851</v>
      </c>
      <c r="B38" s="220" t="s">
        <v>40</v>
      </c>
      <c r="C38" s="27" t="s">
        <v>148</v>
      </c>
      <c r="D38" s="27">
        <v>42828</v>
      </c>
      <c r="E38" s="29">
        <v>1.997485</v>
      </c>
    </row>
    <row r="39" spans="1:10" x14ac:dyDescent="0.3">
      <c r="A39" s="210">
        <v>9851</v>
      </c>
      <c r="B39" s="220" t="s">
        <v>40</v>
      </c>
      <c r="C39" s="27" t="s">
        <v>147</v>
      </c>
      <c r="D39" s="27">
        <v>35278</v>
      </c>
      <c r="E39" s="29">
        <v>4.0606260000000001</v>
      </c>
    </row>
    <row r="40" spans="1:10" x14ac:dyDescent="0.3">
      <c r="A40" s="210">
        <v>9851</v>
      </c>
      <c r="B40" s="220" t="s">
        <v>40</v>
      </c>
      <c r="C40" s="27" t="s">
        <v>147</v>
      </c>
      <c r="D40" s="27">
        <v>34516</v>
      </c>
      <c r="E40" s="29">
        <v>3.0794039999999998</v>
      </c>
    </row>
    <row r="41" spans="1:10" x14ac:dyDescent="0.3">
      <c r="A41" s="210">
        <v>9851</v>
      </c>
      <c r="B41" s="220" t="s">
        <v>40</v>
      </c>
      <c r="C41" s="27" t="s">
        <v>148</v>
      </c>
      <c r="D41" s="27">
        <v>42828</v>
      </c>
      <c r="E41" s="29">
        <v>3.0794039999999998</v>
      </c>
    </row>
    <row r="42" spans="1:10" x14ac:dyDescent="0.3">
      <c r="A42" s="210"/>
      <c r="B42" s="220"/>
      <c r="C42" s="27"/>
      <c r="D42" s="27"/>
      <c r="E42" s="209">
        <f>SUM(E37:E41)</f>
        <v>19.837879000000001</v>
      </c>
    </row>
    <row r="43" spans="1:10" x14ac:dyDescent="0.3">
      <c r="A43" s="210">
        <v>9859</v>
      </c>
      <c r="B43" s="220" t="s">
        <v>40</v>
      </c>
      <c r="C43" s="27" t="s">
        <v>149</v>
      </c>
      <c r="D43" s="27">
        <v>32813</v>
      </c>
      <c r="E43" s="209">
        <v>3.9147280000000002</v>
      </c>
    </row>
    <row r="44" spans="1:10" x14ac:dyDescent="0.3">
      <c r="A44" s="182"/>
      <c r="B44" s="211"/>
      <c r="C44" s="182"/>
      <c r="D44" s="139"/>
      <c r="E44" s="153">
        <f>E22+E25+E28+E29+E32+E33+E36+E42+E43</f>
        <v>49.893125999999995</v>
      </c>
    </row>
    <row r="45" spans="1:10" x14ac:dyDescent="0.3">
      <c r="A45" s="206">
        <v>21649</v>
      </c>
      <c r="B45" s="220" t="s">
        <v>128</v>
      </c>
      <c r="C45" s="206" t="s">
        <v>168</v>
      </c>
      <c r="D45" s="27">
        <v>31868</v>
      </c>
      <c r="E45" s="209">
        <v>1.2225220000000001</v>
      </c>
    </row>
    <row r="46" spans="1:10" x14ac:dyDescent="0.3">
      <c r="A46" s="206">
        <v>21684</v>
      </c>
      <c r="B46" s="220" t="s">
        <v>128</v>
      </c>
      <c r="C46" s="206" t="s">
        <v>169</v>
      </c>
      <c r="D46" s="27">
        <v>37681</v>
      </c>
      <c r="E46" s="221">
        <v>6.1844299999999999</v>
      </c>
    </row>
    <row r="47" spans="1:10" s="251" customFormat="1" x14ac:dyDescent="0.3">
      <c r="A47" s="206">
        <v>21684</v>
      </c>
      <c r="B47" s="220" t="s">
        <v>128</v>
      </c>
      <c r="C47" s="206" t="s">
        <v>170</v>
      </c>
      <c r="D47" s="27">
        <v>37302</v>
      </c>
      <c r="E47" s="221">
        <v>1.1601509999999999</v>
      </c>
      <c r="G47" s="205"/>
      <c r="H47" s="205"/>
    </row>
    <row r="48" spans="1:10" x14ac:dyDescent="0.3">
      <c r="A48" s="206"/>
      <c r="B48" s="220"/>
      <c r="C48" s="206"/>
      <c r="D48" s="220"/>
      <c r="E48" s="209">
        <f>SUM(E46:E47)</f>
        <v>7.3445809999999998</v>
      </c>
    </row>
    <row r="49" spans="1:8" x14ac:dyDescent="0.3">
      <c r="A49" s="206">
        <v>21685</v>
      </c>
      <c r="B49" s="220" t="s">
        <v>128</v>
      </c>
      <c r="C49" s="206" t="s">
        <v>169</v>
      </c>
      <c r="D49" s="27">
        <v>37681</v>
      </c>
      <c r="E49" s="209">
        <v>6.1212039999999996</v>
      </c>
    </row>
    <row r="50" spans="1:8" x14ac:dyDescent="0.3">
      <c r="A50" s="206">
        <v>21688</v>
      </c>
      <c r="B50" s="220" t="s">
        <v>128</v>
      </c>
      <c r="C50" s="206" t="s">
        <v>171</v>
      </c>
      <c r="D50" s="27">
        <v>36770</v>
      </c>
      <c r="E50" s="209">
        <v>7.7758070000000004</v>
      </c>
    </row>
    <row r="51" spans="1:8" x14ac:dyDescent="0.3">
      <c r="A51" s="206">
        <v>21691</v>
      </c>
      <c r="B51" s="220" t="s">
        <v>128</v>
      </c>
      <c r="C51" s="206" t="s">
        <v>172</v>
      </c>
      <c r="D51" s="27">
        <v>42016</v>
      </c>
      <c r="E51" s="209">
        <v>0.47178700000000001</v>
      </c>
    </row>
    <row r="52" spans="1:8" x14ac:dyDescent="0.3">
      <c r="A52" s="206">
        <v>21692</v>
      </c>
      <c r="B52" s="220" t="s">
        <v>128</v>
      </c>
      <c r="C52" s="206" t="s">
        <v>173</v>
      </c>
      <c r="D52" s="27">
        <v>37915</v>
      </c>
      <c r="E52" s="29">
        <v>4.9649159999999997</v>
      </c>
    </row>
    <row r="53" spans="1:8" s="251" customFormat="1" x14ac:dyDescent="0.3">
      <c r="A53" s="206">
        <v>21692</v>
      </c>
      <c r="B53" s="220" t="s">
        <v>128</v>
      </c>
      <c r="C53" s="206" t="s">
        <v>174</v>
      </c>
      <c r="D53" s="27">
        <v>34243</v>
      </c>
      <c r="E53" s="221">
        <v>1.1883919999999999</v>
      </c>
      <c r="G53" s="205"/>
      <c r="H53" s="205"/>
    </row>
    <row r="54" spans="1:8" x14ac:dyDescent="0.3">
      <c r="A54" s="206"/>
      <c r="B54" s="220"/>
      <c r="C54" s="206"/>
      <c r="D54" s="220"/>
      <c r="E54" s="209">
        <f>SUM(E52:E53)</f>
        <v>6.1533079999999991</v>
      </c>
    </row>
    <row r="55" spans="1:8" x14ac:dyDescent="0.3">
      <c r="A55" s="206">
        <v>21693</v>
      </c>
      <c r="B55" s="220" t="s">
        <v>128</v>
      </c>
      <c r="C55" s="206" t="s">
        <v>175</v>
      </c>
      <c r="D55" s="27">
        <v>41988</v>
      </c>
      <c r="E55" s="209">
        <v>0.33160600000000001</v>
      </c>
    </row>
    <row r="56" spans="1:8" x14ac:dyDescent="0.3">
      <c r="A56" s="206">
        <v>21694</v>
      </c>
      <c r="B56" s="220" t="s">
        <v>128</v>
      </c>
      <c r="C56" s="206" t="s">
        <v>176</v>
      </c>
      <c r="D56" s="27">
        <v>38671</v>
      </c>
      <c r="E56" s="209">
        <v>0.23826</v>
      </c>
    </row>
    <row r="57" spans="1:8" x14ac:dyDescent="0.3">
      <c r="A57" s="206">
        <v>21698</v>
      </c>
      <c r="B57" s="220" t="s">
        <v>128</v>
      </c>
      <c r="C57" s="206" t="s">
        <v>177</v>
      </c>
      <c r="D57" s="27">
        <v>35339</v>
      </c>
      <c r="E57" s="209">
        <v>0.165631</v>
      </c>
    </row>
    <row r="58" spans="1:8" x14ac:dyDescent="0.3">
      <c r="A58" s="206">
        <v>21701</v>
      </c>
      <c r="B58" s="220" t="s">
        <v>128</v>
      </c>
      <c r="C58" s="206" t="s">
        <v>178</v>
      </c>
      <c r="D58" s="27">
        <v>43262</v>
      </c>
      <c r="E58" s="209">
        <v>2.8966780000000001</v>
      </c>
    </row>
    <row r="59" spans="1:8" x14ac:dyDescent="0.3">
      <c r="A59" s="206">
        <v>21703</v>
      </c>
      <c r="B59" s="220" t="s">
        <v>128</v>
      </c>
      <c r="C59" s="206" t="s">
        <v>51</v>
      </c>
      <c r="D59" s="27">
        <v>38671</v>
      </c>
      <c r="E59" s="221">
        <v>15.068429999999999</v>
      </c>
    </row>
    <row r="60" spans="1:8" x14ac:dyDescent="0.3">
      <c r="A60" s="206">
        <v>21703</v>
      </c>
      <c r="B60" s="220" t="s">
        <v>128</v>
      </c>
      <c r="C60" s="206" t="s">
        <v>52</v>
      </c>
      <c r="D60" s="27">
        <v>38671</v>
      </c>
      <c r="E60" s="221">
        <v>2.760405</v>
      </c>
    </row>
    <row r="61" spans="1:8" x14ac:dyDescent="0.3">
      <c r="A61" s="206">
        <v>21703</v>
      </c>
      <c r="B61" s="220" t="s">
        <v>128</v>
      </c>
      <c r="C61" s="206" t="s">
        <v>178</v>
      </c>
      <c r="D61" s="27">
        <v>43262</v>
      </c>
      <c r="E61" s="221">
        <v>1.183959</v>
      </c>
    </row>
    <row r="62" spans="1:8" x14ac:dyDescent="0.3">
      <c r="A62" s="206">
        <v>21703</v>
      </c>
      <c r="B62" s="220" t="s">
        <v>128</v>
      </c>
      <c r="C62" s="206" t="s">
        <v>179</v>
      </c>
      <c r="D62" s="27">
        <v>43262</v>
      </c>
      <c r="E62" s="221">
        <v>8.7176919999999996</v>
      </c>
    </row>
    <row r="63" spans="1:8" x14ac:dyDescent="0.3">
      <c r="A63" s="206">
        <v>21703</v>
      </c>
      <c r="B63" s="220" t="s">
        <v>128</v>
      </c>
      <c r="C63" s="206" t="s">
        <v>51</v>
      </c>
      <c r="D63" s="27">
        <v>38671</v>
      </c>
      <c r="E63" s="221">
        <v>3.8117079999999999</v>
      </c>
    </row>
    <row r="64" spans="1:8" x14ac:dyDescent="0.3">
      <c r="A64" s="206">
        <v>21703</v>
      </c>
      <c r="B64" s="220" t="s">
        <v>128</v>
      </c>
      <c r="C64" s="206" t="s">
        <v>178</v>
      </c>
      <c r="D64" s="27">
        <v>43262</v>
      </c>
      <c r="E64" s="221">
        <v>3.8117079999999999</v>
      </c>
    </row>
    <row r="65" spans="1:5" x14ac:dyDescent="0.3">
      <c r="A65" s="206">
        <v>21703</v>
      </c>
      <c r="B65" s="220" t="s">
        <v>128</v>
      </c>
      <c r="C65" s="206" t="s">
        <v>51</v>
      </c>
      <c r="D65" s="27">
        <v>38671</v>
      </c>
      <c r="E65" s="221">
        <v>4.0002389999999997</v>
      </c>
    </row>
    <row r="66" spans="1:5" x14ac:dyDescent="0.3">
      <c r="A66" s="206">
        <v>21703</v>
      </c>
      <c r="B66" s="220" t="s">
        <v>128</v>
      </c>
      <c r="C66" s="206" t="s">
        <v>179</v>
      </c>
      <c r="D66" s="27">
        <v>43262</v>
      </c>
      <c r="E66" s="221">
        <v>4.0002389999999997</v>
      </c>
    </row>
    <row r="67" spans="1:5" x14ac:dyDescent="0.3">
      <c r="A67" s="206"/>
      <c r="B67" s="220"/>
      <c r="C67" s="206"/>
      <c r="D67" s="220"/>
      <c r="E67" s="209">
        <f>SUM(E59:E66)</f>
        <v>43.354379999999999</v>
      </c>
    </row>
    <row r="68" spans="1:5" x14ac:dyDescent="0.3">
      <c r="A68" s="206">
        <v>21704</v>
      </c>
      <c r="B68" s="220" t="s">
        <v>128</v>
      </c>
      <c r="C68" s="206" t="s">
        <v>147</v>
      </c>
      <c r="D68" s="27">
        <v>36281</v>
      </c>
      <c r="E68" s="221">
        <v>12.991569999999999</v>
      </c>
    </row>
    <row r="69" spans="1:5" x14ac:dyDescent="0.3">
      <c r="A69" s="206">
        <v>21704</v>
      </c>
      <c r="B69" s="220" t="s">
        <v>128</v>
      </c>
      <c r="C69" s="206" t="s">
        <v>180</v>
      </c>
      <c r="D69" s="27">
        <v>36281</v>
      </c>
      <c r="E69" s="221">
        <v>1.6126069999999999</v>
      </c>
    </row>
    <row r="70" spans="1:5" x14ac:dyDescent="0.3">
      <c r="A70" s="206"/>
      <c r="B70" s="220"/>
      <c r="C70" s="206"/>
      <c r="D70" s="220"/>
      <c r="E70" s="209">
        <f>SUM(E68:E69)</f>
        <v>14.604177</v>
      </c>
    </row>
    <row r="71" spans="1:5" x14ac:dyDescent="0.3">
      <c r="A71" s="206">
        <v>21706</v>
      </c>
      <c r="B71" s="220" t="s">
        <v>128</v>
      </c>
      <c r="C71" s="206" t="s">
        <v>181</v>
      </c>
      <c r="D71" s="27">
        <v>37408</v>
      </c>
      <c r="E71" s="221">
        <v>0.175123</v>
      </c>
    </row>
    <row r="72" spans="1:5" x14ac:dyDescent="0.3">
      <c r="A72" s="206">
        <v>21706</v>
      </c>
      <c r="B72" s="220" t="s">
        <v>128</v>
      </c>
      <c r="C72" s="206" t="s">
        <v>182</v>
      </c>
      <c r="D72" s="27">
        <v>32843</v>
      </c>
      <c r="E72" s="221">
        <v>14.37993</v>
      </c>
    </row>
    <row r="73" spans="1:5" x14ac:dyDescent="0.3">
      <c r="A73" s="206"/>
      <c r="B73" s="220"/>
      <c r="C73" s="206"/>
      <c r="D73" s="220"/>
      <c r="E73" s="209">
        <f>SUM(E71:E72)</f>
        <v>14.555052999999999</v>
      </c>
    </row>
    <row r="74" spans="1:5" x14ac:dyDescent="0.3">
      <c r="A74" s="206">
        <v>21707</v>
      </c>
      <c r="B74" s="220" t="s">
        <v>128</v>
      </c>
      <c r="C74" s="206" t="s">
        <v>183</v>
      </c>
      <c r="D74" s="27">
        <v>41618</v>
      </c>
      <c r="E74" s="209">
        <v>5.5959880000000002</v>
      </c>
    </row>
    <row r="75" spans="1:5" x14ac:dyDescent="0.3">
      <c r="A75" s="206">
        <v>21712</v>
      </c>
      <c r="B75" s="220" t="s">
        <v>128</v>
      </c>
      <c r="C75" s="206" t="s">
        <v>147</v>
      </c>
      <c r="D75" s="27">
        <v>32690</v>
      </c>
      <c r="E75" s="209">
        <v>2.8173710000000001</v>
      </c>
    </row>
    <row r="76" spans="1:5" x14ac:dyDescent="0.3">
      <c r="A76" s="182"/>
      <c r="B76" s="211"/>
      <c r="C76" s="182"/>
      <c r="D76" s="139"/>
      <c r="E76" s="153">
        <f>E45+E48+E49+E50+E51+E5+E54+E55+E56+E57+E58+E67+E70+E73+E74+E75</f>
        <v>116.22569999999999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MK277"/>
  <sheetViews>
    <sheetView topLeftCell="A16" workbookViewId="0">
      <selection sqref="A1:XFD1048576"/>
    </sheetView>
  </sheetViews>
  <sheetFormatPr defaultRowHeight="14.4" x14ac:dyDescent="0.3"/>
  <cols>
    <col min="1" max="1" width="8.88671875" style="256"/>
    <col min="2" max="3" width="9.109375" style="256" customWidth="1"/>
    <col min="4" max="4" width="8.88671875" style="256"/>
    <col min="5" max="5" width="18.109375" style="92" customWidth="1"/>
    <col min="6" max="6" width="9.109375" style="92" customWidth="1"/>
    <col min="7" max="7" width="19" style="92" customWidth="1"/>
    <col min="8" max="8" width="9.109375" style="92" customWidth="1"/>
    <col min="9" max="9" width="14.44140625" style="92" customWidth="1"/>
    <col min="10" max="10" width="8.88671875" style="126" customWidth="1"/>
    <col min="11" max="11" width="9.109375" style="213" customWidth="1"/>
    <col min="12" max="12" width="9.109375" style="133" customWidth="1"/>
    <col min="13" max="13" width="15.109375" style="205" customWidth="1"/>
    <col min="14" max="14" width="9.109375" style="205" customWidth="1"/>
    <col min="15" max="15" width="9.109375" style="187" customWidth="1"/>
    <col min="16" max="16" width="9.109375" style="18" customWidth="1"/>
    <col min="17" max="17" width="12.109375" style="256" customWidth="1"/>
    <col min="18" max="18" width="9.109375" style="256" customWidth="1"/>
    <col min="19" max="21" width="9.109375" style="11" customWidth="1"/>
    <col min="22" max="23" width="9.109375" style="256" customWidth="1"/>
    <col min="24" max="16384" width="8.88671875" style="256"/>
  </cols>
  <sheetData>
    <row r="1" spans="1:25" ht="40.799999999999997" x14ac:dyDescent="0.3">
      <c r="A1" s="383" t="s">
        <v>204</v>
      </c>
      <c r="B1" s="383"/>
      <c r="C1" s="383"/>
      <c r="D1" s="383"/>
      <c r="E1" s="384" t="s">
        <v>53</v>
      </c>
      <c r="F1" s="384"/>
      <c r="G1" s="384"/>
      <c r="H1" s="384"/>
      <c r="I1" s="263"/>
      <c r="J1" s="115"/>
      <c r="K1" s="159" t="s">
        <v>70</v>
      </c>
      <c r="L1" s="61" t="s">
        <v>69</v>
      </c>
      <c r="M1" s="385" t="s">
        <v>54</v>
      </c>
      <c r="N1" s="385"/>
      <c r="O1" s="190" t="s">
        <v>55</v>
      </c>
      <c r="P1" s="386" t="s">
        <v>56</v>
      </c>
      <c r="Q1" s="386"/>
      <c r="R1" s="387" t="s">
        <v>57</v>
      </c>
      <c r="S1" s="379" t="s">
        <v>79</v>
      </c>
      <c r="T1" s="380"/>
      <c r="U1" s="380"/>
      <c r="V1" s="301" t="s">
        <v>85</v>
      </c>
      <c r="W1" s="283"/>
      <c r="X1" s="265" t="s">
        <v>130</v>
      </c>
    </row>
    <row r="2" spans="1:25" ht="28.8" x14ac:dyDescent="0.3">
      <c r="A2" s="5" t="s">
        <v>7</v>
      </c>
      <c r="B2" s="2" t="s">
        <v>0</v>
      </c>
      <c r="C2" s="2" t="s">
        <v>1</v>
      </c>
      <c r="D2" s="3" t="s">
        <v>8</v>
      </c>
      <c r="E2" s="81" t="s">
        <v>135</v>
      </c>
      <c r="F2" s="82" t="s">
        <v>12</v>
      </c>
      <c r="G2" s="81" t="s">
        <v>14</v>
      </c>
      <c r="H2" s="82" t="s">
        <v>33</v>
      </c>
      <c r="I2" s="81" t="s">
        <v>29</v>
      </c>
      <c r="J2" s="116" t="s">
        <v>34</v>
      </c>
      <c r="K2" s="149" t="s">
        <v>68</v>
      </c>
      <c r="L2" s="60" t="s">
        <v>71</v>
      </c>
      <c r="M2" s="127" t="s">
        <v>9</v>
      </c>
      <c r="N2" s="77" t="s">
        <v>15</v>
      </c>
      <c r="O2" s="185" t="s">
        <v>16</v>
      </c>
      <c r="P2" s="34" t="s">
        <v>17</v>
      </c>
      <c r="Q2" s="261" t="s">
        <v>18</v>
      </c>
      <c r="R2" s="387"/>
      <c r="S2" s="107" t="s">
        <v>80</v>
      </c>
      <c r="T2" s="107" t="s">
        <v>81</v>
      </c>
      <c r="U2" s="107" t="s">
        <v>82</v>
      </c>
      <c r="V2" s="302" t="s">
        <v>83</v>
      </c>
      <c r="W2" s="298" t="s">
        <v>84</v>
      </c>
      <c r="X2" s="266"/>
    </row>
    <row r="3" spans="1:25" s="267" customFormat="1" x14ac:dyDescent="0.3">
      <c r="A3" s="299">
        <v>5669</v>
      </c>
      <c r="B3" s="299" t="s">
        <v>2</v>
      </c>
      <c r="C3" s="299" t="s">
        <v>3</v>
      </c>
      <c r="D3" s="300">
        <v>46.289160000000003</v>
      </c>
      <c r="E3" s="303"/>
      <c r="F3" s="309"/>
      <c r="G3" s="303"/>
      <c r="H3" s="309"/>
      <c r="I3" s="203"/>
      <c r="J3" s="315"/>
      <c r="K3" s="145">
        <v>0</v>
      </c>
      <c r="L3" s="184">
        <v>0</v>
      </c>
      <c r="M3" s="214" t="s">
        <v>38</v>
      </c>
      <c r="N3" s="175">
        <v>46.289160000000003</v>
      </c>
      <c r="O3" s="178"/>
      <c r="P3" s="166">
        <f>D3-Q3</f>
        <v>0</v>
      </c>
      <c r="Q3" s="167">
        <v>46.289160000000003</v>
      </c>
      <c r="R3" s="188">
        <v>0</v>
      </c>
      <c r="S3" s="170">
        <v>0</v>
      </c>
      <c r="T3" s="170">
        <v>0</v>
      </c>
      <c r="U3" s="170">
        <v>0</v>
      </c>
      <c r="V3" s="174">
        <v>0</v>
      </c>
      <c r="W3" s="215">
        <f>D3-(S3+T3+U3+V3)</f>
        <v>46.289160000000003</v>
      </c>
      <c r="X3" s="284"/>
      <c r="Y3" s="350" t="s">
        <v>285</v>
      </c>
    </row>
    <row r="4" spans="1:25" s="267" customFormat="1" ht="24.6" x14ac:dyDescent="0.3">
      <c r="A4" s="299">
        <v>5709</v>
      </c>
      <c r="B4" s="299" t="s">
        <v>2</v>
      </c>
      <c r="C4" s="299" t="s">
        <v>3</v>
      </c>
      <c r="D4" s="300">
        <v>9.6901709999999994</v>
      </c>
      <c r="E4" s="304" t="s">
        <v>212</v>
      </c>
      <c r="F4" s="310">
        <v>9.6901709999999994</v>
      </c>
      <c r="G4" s="303"/>
      <c r="H4" s="314"/>
      <c r="I4" s="183"/>
      <c r="J4" s="314"/>
      <c r="K4" s="145">
        <v>11.153388</v>
      </c>
      <c r="L4" s="184">
        <v>1.463217</v>
      </c>
      <c r="M4" s="214"/>
      <c r="N4" s="175"/>
      <c r="O4" s="178"/>
      <c r="P4" s="166">
        <f t="shared" ref="P4:P23" si="0">D4-Q4</f>
        <v>9.6901709999999994</v>
      </c>
      <c r="Q4" s="167">
        <v>0</v>
      </c>
      <c r="R4" s="188">
        <v>0</v>
      </c>
      <c r="S4" s="170">
        <v>0</v>
      </c>
      <c r="T4" s="170">
        <v>6.6841999999999997</v>
      </c>
      <c r="U4" s="170">
        <v>2.9003800000000002</v>
      </c>
      <c r="V4" s="174">
        <v>0</v>
      </c>
      <c r="W4" s="215">
        <f t="shared" ref="W4:W23" si="1">D4-(S4+T4+U4+V4)</f>
        <v>0.10559100000000043</v>
      </c>
      <c r="X4" s="284"/>
      <c r="Y4" s="346" t="s">
        <v>286</v>
      </c>
    </row>
    <row r="5" spans="1:25" s="267" customFormat="1" ht="24.6" x14ac:dyDescent="0.3">
      <c r="A5" s="299">
        <v>5710</v>
      </c>
      <c r="B5" s="299" t="s">
        <v>2</v>
      </c>
      <c r="C5" s="299" t="s">
        <v>3</v>
      </c>
      <c r="D5" s="300">
        <v>11.349500000000001</v>
      </c>
      <c r="E5" s="305" t="s">
        <v>212</v>
      </c>
      <c r="F5" s="311">
        <v>11.349498000000001</v>
      </c>
      <c r="G5" s="303"/>
      <c r="H5" s="314"/>
      <c r="I5" s="183"/>
      <c r="J5" s="314"/>
      <c r="K5" s="145">
        <v>5.706842</v>
      </c>
      <c r="L5" s="184">
        <v>0</v>
      </c>
      <c r="M5" s="214"/>
      <c r="N5" s="175"/>
      <c r="O5" s="178"/>
      <c r="P5" s="166">
        <f t="shared" si="0"/>
        <v>11.349500000000001</v>
      </c>
      <c r="Q5" s="167">
        <v>0</v>
      </c>
      <c r="R5" s="188">
        <v>0</v>
      </c>
      <c r="S5" s="170">
        <v>0</v>
      </c>
      <c r="T5" s="170">
        <v>0</v>
      </c>
      <c r="U5" s="170">
        <v>10.786799999999999</v>
      </c>
      <c r="V5" s="174">
        <v>0</v>
      </c>
      <c r="W5" s="215">
        <f t="shared" si="1"/>
        <v>0.56270000000000131</v>
      </c>
      <c r="X5" s="284"/>
      <c r="Y5" s="346" t="s">
        <v>287</v>
      </c>
    </row>
    <row r="6" spans="1:25" s="267" customFormat="1" ht="24.6" x14ac:dyDescent="0.3">
      <c r="A6" s="299">
        <v>5711</v>
      </c>
      <c r="B6" s="299" t="s">
        <v>2</v>
      </c>
      <c r="C6" s="299" t="s">
        <v>3</v>
      </c>
      <c r="D6" s="300">
        <v>5.9962460000000002</v>
      </c>
      <c r="E6" s="304" t="s">
        <v>212</v>
      </c>
      <c r="F6" s="310">
        <v>5.9962460000000002</v>
      </c>
      <c r="G6" s="303"/>
      <c r="H6" s="314"/>
      <c r="I6" s="183"/>
      <c r="J6" s="314"/>
      <c r="K6" s="145">
        <v>0</v>
      </c>
      <c r="L6" s="184">
        <v>0</v>
      </c>
      <c r="M6" s="214"/>
      <c r="N6" s="175"/>
      <c r="O6" s="178"/>
      <c r="P6" s="166">
        <f t="shared" si="0"/>
        <v>5.9962460000000002</v>
      </c>
      <c r="Q6" s="167">
        <v>0</v>
      </c>
      <c r="R6" s="188">
        <v>0</v>
      </c>
      <c r="S6" s="170">
        <v>0</v>
      </c>
      <c r="T6" s="170">
        <v>0</v>
      </c>
      <c r="U6" s="170">
        <v>4.4806100000000004</v>
      </c>
      <c r="V6" s="174">
        <v>0</v>
      </c>
      <c r="W6" s="215">
        <f t="shared" si="1"/>
        <v>1.5156359999999998</v>
      </c>
      <c r="X6" s="284"/>
      <c r="Y6" s="347" t="s">
        <v>288</v>
      </c>
    </row>
    <row r="7" spans="1:25" s="267" customFormat="1" ht="24.6" x14ac:dyDescent="0.3">
      <c r="A7" s="299">
        <v>5713</v>
      </c>
      <c r="B7" s="299" t="s">
        <v>2</v>
      </c>
      <c r="C7" s="299" t="s">
        <v>3</v>
      </c>
      <c r="D7" s="300">
        <v>50.884610000000002</v>
      </c>
      <c r="E7" s="375" t="s">
        <v>213</v>
      </c>
      <c r="F7" s="310">
        <v>50.884608</v>
      </c>
      <c r="G7" s="303"/>
      <c r="H7" s="314"/>
      <c r="I7" s="183"/>
      <c r="J7" s="314"/>
      <c r="K7" s="145">
        <v>4.4819000000000004</v>
      </c>
      <c r="L7" s="184">
        <v>0</v>
      </c>
      <c r="M7" s="214"/>
      <c r="N7" s="175"/>
      <c r="O7" s="178"/>
      <c r="P7" s="166">
        <f t="shared" si="0"/>
        <v>50.884610000000002</v>
      </c>
      <c r="Q7" s="167">
        <v>0</v>
      </c>
      <c r="R7" s="188">
        <v>0</v>
      </c>
      <c r="S7" s="170">
        <v>0</v>
      </c>
      <c r="T7" s="170">
        <v>0</v>
      </c>
      <c r="U7" s="170">
        <v>6.5108300000000003</v>
      </c>
      <c r="V7" s="174">
        <v>0</v>
      </c>
      <c r="W7" s="370">
        <f t="shared" si="1"/>
        <v>44.373780000000004</v>
      </c>
      <c r="X7" s="284"/>
      <c r="Y7" s="347" t="s">
        <v>289</v>
      </c>
    </row>
    <row r="8" spans="1:25" s="267" customFormat="1" ht="24.6" x14ac:dyDescent="0.3">
      <c r="A8" s="299">
        <v>5714</v>
      </c>
      <c r="B8" s="299" t="s">
        <v>2</v>
      </c>
      <c r="C8" s="299" t="s">
        <v>3</v>
      </c>
      <c r="D8" s="300">
        <v>56.176519999999996</v>
      </c>
      <c r="E8" s="304" t="s">
        <v>211</v>
      </c>
      <c r="F8" s="310">
        <v>56.176518999999999</v>
      </c>
      <c r="G8" s="303"/>
      <c r="H8" s="314"/>
      <c r="I8" s="183"/>
      <c r="J8" s="314"/>
      <c r="K8" s="145">
        <v>2.1332990000000001</v>
      </c>
      <c r="L8" s="184">
        <v>0</v>
      </c>
      <c r="M8" s="214"/>
      <c r="N8" s="175"/>
      <c r="O8" s="178"/>
      <c r="P8" s="166">
        <f t="shared" si="0"/>
        <v>56.176519999999996</v>
      </c>
      <c r="Q8" s="167">
        <v>0</v>
      </c>
      <c r="R8" s="188">
        <v>0</v>
      </c>
      <c r="S8" s="170">
        <v>0</v>
      </c>
      <c r="T8" s="170">
        <v>0</v>
      </c>
      <c r="U8" s="170">
        <v>5.1101599999999996</v>
      </c>
      <c r="V8" s="174">
        <v>0</v>
      </c>
      <c r="W8" s="371">
        <f t="shared" si="1"/>
        <v>51.066359999999996</v>
      </c>
      <c r="X8" s="284"/>
      <c r="Y8" s="347" t="s">
        <v>290</v>
      </c>
    </row>
    <row r="9" spans="1:25" s="267" customFormat="1" ht="24.6" x14ac:dyDescent="0.3">
      <c r="A9" s="299">
        <v>5715</v>
      </c>
      <c r="B9" s="299" t="s">
        <v>2</v>
      </c>
      <c r="C9" s="299" t="s">
        <v>3</v>
      </c>
      <c r="D9" s="300">
        <v>28.18083</v>
      </c>
      <c r="E9" s="304" t="s">
        <v>207</v>
      </c>
      <c r="F9" s="310">
        <v>28.180831999999999</v>
      </c>
      <c r="G9" s="303"/>
      <c r="H9" s="314"/>
      <c r="I9" s="183"/>
      <c r="J9" s="314"/>
      <c r="K9" s="145">
        <v>11.14188</v>
      </c>
      <c r="L9" s="184">
        <v>0</v>
      </c>
      <c r="M9" s="214"/>
      <c r="N9" s="175"/>
      <c r="O9" s="178"/>
      <c r="P9" s="166">
        <f t="shared" si="0"/>
        <v>28.18083</v>
      </c>
      <c r="Q9" s="167">
        <v>0</v>
      </c>
      <c r="R9" s="188">
        <v>0</v>
      </c>
      <c r="S9" s="170">
        <v>0</v>
      </c>
      <c r="T9" s="170">
        <v>0</v>
      </c>
      <c r="U9" s="170">
        <v>0</v>
      </c>
      <c r="V9" s="174">
        <v>0</v>
      </c>
      <c r="W9" s="215">
        <f t="shared" si="1"/>
        <v>28.18083</v>
      </c>
      <c r="X9" s="284"/>
      <c r="Y9" s="347" t="s">
        <v>291</v>
      </c>
    </row>
    <row r="10" spans="1:25" s="267" customFormat="1" ht="24.6" x14ac:dyDescent="0.3">
      <c r="A10" s="299">
        <v>5799</v>
      </c>
      <c r="B10" s="299" t="s">
        <v>2</v>
      </c>
      <c r="C10" s="299" t="s">
        <v>6</v>
      </c>
      <c r="D10" s="300">
        <v>42.377630000000003</v>
      </c>
      <c r="E10" s="378" t="s">
        <v>207</v>
      </c>
      <c r="F10" s="310">
        <v>42.377631999999998</v>
      </c>
      <c r="G10" s="303"/>
      <c r="H10" s="314"/>
      <c r="I10" s="183"/>
      <c r="J10" s="314"/>
      <c r="K10" s="145">
        <v>0.21804699999999999</v>
      </c>
      <c r="L10" s="184">
        <v>0</v>
      </c>
      <c r="M10" s="214"/>
      <c r="N10" s="175"/>
      <c r="O10" s="178"/>
      <c r="P10" s="166">
        <f t="shared" si="0"/>
        <v>42.377630000000003</v>
      </c>
      <c r="Q10" s="167">
        <v>0</v>
      </c>
      <c r="R10" s="188">
        <v>0</v>
      </c>
      <c r="S10" s="170">
        <v>0</v>
      </c>
      <c r="T10" s="170">
        <v>0</v>
      </c>
      <c r="U10" s="170">
        <v>10.6172</v>
      </c>
      <c r="V10" s="174">
        <v>0</v>
      </c>
      <c r="W10" s="372">
        <f t="shared" si="1"/>
        <v>31.760430000000003</v>
      </c>
      <c r="X10" s="284"/>
      <c r="Y10" s="347" t="s">
        <v>292</v>
      </c>
    </row>
    <row r="11" spans="1:25" s="267" customFormat="1" x14ac:dyDescent="0.3">
      <c r="A11" s="299">
        <v>5832</v>
      </c>
      <c r="B11" s="299" t="s">
        <v>2</v>
      </c>
      <c r="C11" s="299" t="s">
        <v>4</v>
      </c>
      <c r="D11" s="300">
        <v>153.20410000000001</v>
      </c>
      <c r="E11" s="304"/>
      <c r="F11" s="310"/>
      <c r="G11" s="303"/>
      <c r="H11" s="314"/>
      <c r="I11" s="183"/>
      <c r="J11" s="314"/>
      <c r="K11" s="145">
        <v>0</v>
      </c>
      <c r="L11" s="184">
        <v>0</v>
      </c>
      <c r="M11" s="214" t="s">
        <v>38</v>
      </c>
      <c r="N11" s="175">
        <f>SUM(122.584+30.620022)</f>
        <v>153.20402200000001</v>
      </c>
      <c r="O11" s="178"/>
      <c r="P11" s="166">
        <f t="shared" si="0"/>
        <v>0</v>
      </c>
      <c r="Q11" s="167">
        <v>153.20410000000001</v>
      </c>
      <c r="R11" s="188">
        <v>1.879508</v>
      </c>
      <c r="S11" s="170">
        <v>0</v>
      </c>
      <c r="T11" s="170">
        <v>1.0085999999999999</v>
      </c>
      <c r="U11" s="170">
        <v>19.249199999999998</v>
      </c>
      <c r="V11" s="174">
        <v>0</v>
      </c>
      <c r="W11" s="373">
        <f t="shared" si="1"/>
        <v>132.94630000000001</v>
      </c>
      <c r="X11" s="284"/>
      <c r="Y11" s="347" t="s">
        <v>293</v>
      </c>
    </row>
    <row r="12" spans="1:25" s="267" customFormat="1" x14ac:dyDescent="0.3">
      <c r="A12" s="299">
        <v>5833</v>
      </c>
      <c r="B12" s="299" t="s">
        <v>2</v>
      </c>
      <c r="C12" s="299" t="s">
        <v>4</v>
      </c>
      <c r="D12" s="300">
        <v>95.095330000000004</v>
      </c>
      <c r="E12" s="305"/>
      <c r="F12" s="311"/>
      <c r="G12" s="303"/>
      <c r="H12" s="314"/>
      <c r="I12" s="183"/>
      <c r="J12" s="314"/>
      <c r="K12" s="145">
        <v>0</v>
      </c>
      <c r="L12" s="184">
        <v>0</v>
      </c>
      <c r="M12" s="214" t="s">
        <v>38</v>
      </c>
      <c r="N12" s="175">
        <v>95.095330000000004</v>
      </c>
      <c r="O12" s="178"/>
      <c r="P12" s="166">
        <f t="shared" si="0"/>
        <v>0</v>
      </c>
      <c r="Q12" s="167">
        <v>95.095330000000004</v>
      </c>
      <c r="R12" s="188">
        <v>8.5384919999999997</v>
      </c>
      <c r="S12" s="170">
        <v>0</v>
      </c>
      <c r="T12" s="170">
        <v>0</v>
      </c>
      <c r="U12" s="170">
        <v>0</v>
      </c>
      <c r="V12" s="174">
        <v>0</v>
      </c>
      <c r="W12" s="215">
        <f t="shared" si="1"/>
        <v>95.095330000000004</v>
      </c>
      <c r="X12" s="284"/>
      <c r="Y12" s="347" t="s">
        <v>294</v>
      </c>
    </row>
    <row r="13" spans="1:25" s="267" customFormat="1" ht="24.6" x14ac:dyDescent="0.3">
      <c r="A13" s="299">
        <v>5863</v>
      </c>
      <c r="B13" s="299" t="s">
        <v>2</v>
      </c>
      <c r="C13" s="299" t="s">
        <v>4</v>
      </c>
      <c r="D13" s="300">
        <v>84.003360000000001</v>
      </c>
      <c r="E13" s="377" t="s">
        <v>208</v>
      </c>
      <c r="F13" s="311">
        <v>84.003354999999999</v>
      </c>
      <c r="G13" s="303"/>
      <c r="H13" s="314"/>
      <c r="I13" s="183"/>
      <c r="J13" s="314"/>
      <c r="K13" s="145">
        <v>35.758699999999997</v>
      </c>
      <c r="L13" s="184">
        <v>0</v>
      </c>
      <c r="M13" s="214"/>
      <c r="N13" s="175"/>
      <c r="O13" s="178"/>
      <c r="P13" s="166">
        <f t="shared" si="0"/>
        <v>84.003360000000001</v>
      </c>
      <c r="Q13" s="167">
        <v>0</v>
      </c>
      <c r="R13" s="188">
        <v>6.7627569999999997</v>
      </c>
      <c r="S13" s="170">
        <v>42.300896000000002</v>
      </c>
      <c r="T13" s="170">
        <v>19.803000000000001</v>
      </c>
      <c r="U13" s="170">
        <v>6.7740600000000004</v>
      </c>
      <c r="V13" s="174">
        <v>0</v>
      </c>
      <c r="W13" s="373">
        <f t="shared" si="1"/>
        <v>15.125403999999989</v>
      </c>
      <c r="X13" s="284"/>
      <c r="Y13" s="351" t="s">
        <v>286</v>
      </c>
    </row>
    <row r="14" spans="1:25" s="267" customFormat="1" ht="24.6" x14ac:dyDescent="0.3">
      <c r="A14" s="299">
        <v>5864</v>
      </c>
      <c r="B14" s="299" t="s">
        <v>2</v>
      </c>
      <c r="C14" s="299" t="s">
        <v>4</v>
      </c>
      <c r="D14" s="300">
        <v>16.02581</v>
      </c>
      <c r="E14" s="304" t="s">
        <v>212</v>
      </c>
      <c r="F14" s="310">
        <v>16.025808000000001</v>
      </c>
      <c r="G14" s="303"/>
      <c r="H14" s="314"/>
      <c r="I14" s="183"/>
      <c r="J14" s="314"/>
      <c r="K14" s="145">
        <v>15.674098000000001</v>
      </c>
      <c r="L14" s="184">
        <v>0</v>
      </c>
      <c r="M14" s="214"/>
      <c r="N14" s="175"/>
      <c r="O14" s="178"/>
      <c r="P14" s="166">
        <f t="shared" si="0"/>
        <v>16.02581</v>
      </c>
      <c r="Q14" s="167">
        <v>0</v>
      </c>
      <c r="R14" s="188">
        <v>0</v>
      </c>
      <c r="S14" s="170">
        <v>0</v>
      </c>
      <c r="T14" s="170">
        <v>0</v>
      </c>
      <c r="U14" s="170">
        <v>3.9235699999999998</v>
      </c>
      <c r="V14" s="174">
        <v>0</v>
      </c>
      <c r="W14" s="215">
        <f t="shared" si="1"/>
        <v>12.10224</v>
      </c>
      <c r="X14" s="284"/>
      <c r="Y14" s="351" t="s">
        <v>295</v>
      </c>
    </row>
    <row r="15" spans="1:25" s="267" customFormat="1" ht="24.6" x14ac:dyDescent="0.3">
      <c r="A15" s="299">
        <v>5866</v>
      </c>
      <c r="B15" s="299" t="s">
        <v>2</v>
      </c>
      <c r="C15" s="299" t="s">
        <v>4</v>
      </c>
      <c r="D15" s="300">
        <v>27.201170000000001</v>
      </c>
      <c r="E15" s="304" t="s">
        <v>213</v>
      </c>
      <c r="F15" s="310">
        <v>27.201170000000001</v>
      </c>
      <c r="G15" s="303"/>
      <c r="H15" s="314"/>
      <c r="I15" s="183"/>
      <c r="J15" s="314"/>
      <c r="K15" s="145">
        <v>0</v>
      </c>
      <c r="L15" s="184">
        <v>0</v>
      </c>
      <c r="M15" s="214"/>
      <c r="N15" s="175"/>
      <c r="O15" s="178"/>
      <c r="P15" s="166">
        <f t="shared" si="0"/>
        <v>27.201170000000001</v>
      </c>
      <c r="Q15" s="167">
        <v>0</v>
      </c>
      <c r="R15" s="188">
        <v>18.710229999999999</v>
      </c>
      <c r="S15" s="170">
        <v>0</v>
      </c>
      <c r="T15" s="170">
        <v>0.84409999999999996</v>
      </c>
      <c r="U15" s="170">
        <v>0</v>
      </c>
      <c r="V15" s="174">
        <v>0</v>
      </c>
      <c r="W15" s="215">
        <f t="shared" si="1"/>
        <v>26.35707</v>
      </c>
      <c r="X15" s="284"/>
      <c r="Y15" s="352" t="s">
        <v>288</v>
      </c>
    </row>
    <row r="16" spans="1:25" s="267" customFormat="1" ht="24.6" x14ac:dyDescent="0.3">
      <c r="A16" s="299">
        <v>5867</v>
      </c>
      <c r="B16" s="299" t="s">
        <v>2</v>
      </c>
      <c r="C16" s="299" t="s">
        <v>4</v>
      </c>
      <c r="D16" s="300">
        <v>60.065600000000003</v>
      </c>
      <c r="E16" s="378" t="s">
        <v>207</v>
      </c>
      <c r="F16" s="310">
        <v>60.065600000000003</v>
      </c>
      <c r="G16" s="303"/>
      <c r="H16" s="314"/>
      <c r="I16" s="183"/>
      <c r="J16" s="314"/>
      <c r="K16" s="145">
        <v>5.1896400000000007</v>
      </c>
      <c r="L16" s="184">
        <v>0</v>
      </c>
      <c r="M16" s="214"/>
      <c r="N16" s="175"/>
      <c r="O16" s="178"/>
      <c r="P16" s="166">
        <f t="shared" si="0"/>
        <v>37.826450000000008</v>
      </c>
      <c r="Q16" s="167">
        <v>22.239149999999999</v>
      </c>
      <c r="R16" s="188">
        <v>14.05124</v>
      </c>
      <c r="S16" s="170">
        <v>0</v>
      </c>
      <c r="T16" s="170">
        <v>0</v>
      </c>
      <c r="U16" s="170">
        <v>0</v>
      </c>
      <c r="V16" s="174">
        <v>0</v>
      </c>
      <c r="W16" s="372">
        <f t="shared" si="1"/>
        <v>60.065600000000003</v>
      </c>
      <c r="X16" s="284"/>
      <c r="Y16" s="352" t="s">
        <v>296</v>
      </c>
    </row>
    <row r="17" spans="1:25" s="267" customFormat="1" x14ac:dyDescent="0.3">
      <c r="A17" s="299">
        <v>5869</v>
      </c>
      <c r="B17" s="299" t="s">
        <v>2</v>
      </c>
      <c r="C17" s="299" t="s">
        <v>4</v>
      </c>
      <c r="D17" s="300">
        <v>22.053550000000001</v>
      </c>
      <c r="E17" s="306"/>
      <c r="F17" s="312"/>
      <c r="G17" s="303"/>
      <c r="H17" s="314"/>
      <c r="I17" s="183"/>
      <c r="J17" s="314"/>
      <c r="K17" s="145">
        <v>0</v>
      </c>
      <c r="L17" s="184">
        <v>0</v>
      </c>
      <c r="M17" s="214" t="s">
        <v>38</v>
      </c>
      <c r="N17" s="175">
        <v>22.053550000000001</v>
      </c>
      <c r="O17" s="178"/>
      <c r="P17" s="166">
        <f t="shared" si="0"/>
        <v>0</v>
      </c>
      <c r="Q17" s="167">
        <v>22.053550000000001</v>
      </c>
      <c r="R17" s="188">
        <v>0.40772700000000001</v>
      </c>
      <c r="S17" s="170">
        <v>0</v>
      </c>
      <c r="T17" s="170">
        <v>0</v>
      </c>
      <c r="U17" s="170">
        <v>7.8989700000000003</v>
      </c>
      <c r="V17" s="174">
        <v>0</v>
      </c>
      <c r="W17" s="215">
        <f t="shared" si="1"/>
        <v>14.154580000000001</v>
      </c>
      <c r="X17" s="284"/>
      <c r="Y17" s="352" t="s">
        <v>290</v>
      </c>
    </row>
    <row r="18" spans="1:25" s="267" customFormat="1" ht="24.6" x14ac:dyDescent="0.3">
      <c r="A18" s="299">
        <v>5870</v>
      </c>
      <c r="B18" s="299" t="s">
        <v>2</v>
      </c>
      <c r="C18" s="299" t="s">
        <v>4</v>
      </c>
      <c r="D18" s="300">
        <v>11.87576</v>
      </c>
      <c r="E18" s="304" t="s">
        <v>213</v>
      </c>
      <c r="F18" s="310">
        <v>11.875761000000001</v>
      </c>
      <c r="G18" s="303"/>
      <c r="H18" s="314"/>
      <c r="I18" s="183"/>
      <c r="J18" s="314"/>
      <c r="K18" s="145">
        <v>0</v>
      </c>
      <c r="L18" s="184">
        <v>0</v>
      </c>
      <c r="M18" s="214"/>
      <c r="N18" s="175"/>
      <c r="O18" s="178"/>
      <c r="P18" s="166">
        <f t="shared" si="0"/>
        <v>7.3894079999999995</v>
      </c>
      <c r="Q18" s="167">
        <v>4.4863520000000001</v>
      </c>
      <c r="R18" s="188">
        <v>0</v>
      </c>
      <c r="S18" s="170">
        <v>0</v>
      </c>
      <c r="T18" s="170">
        <v>1.6466000000000001</v>
      </c>
      <c r="U18" s="170">
        <v>10.229200000000001</v>
      </c>
      <c r="V18" s="174">
        <v>0</v>
      </c>
      <c r="W18" s="215">
        <f t="shared" si="1"/>
        <v>-4.0000000000262048E-5</v>
      </c>
      <c r="X18" s="284"/>
      <c r="Y18" s="352" t="s">
        <v>297</v>
      </c>
    </row>
    <row r="19" spans="1:25" s="267" customFormat="1" x14ac:dyDescent="0.3">
      <c r="A19" s="299">
        <v>5871</v>
      </c>
      <c r="B19" s="299" t="s">
        <v>2</v>
      </c>
      <c r="C19" s="299" t="s">
        <v>4</v>
      </c>
      <c r="D19" s="300">
        <v>25.054069999999999</v>
      </c>
      <c r="E19" s="304" t="s">
        <v>209</v>
      </c>
      <c r="F19" s="310">
        <v>25.054069999999999</v>
      </c>
      <c r="G19" s="303"/>
      <c r="H19" s="314"/>
      <c r="I19" s="183"/>
      <c r="J19" s="314"/>
      <c r="K19" s="145">
        <v>4.6688590000000003</v>
      </c>
      <c r="L19" s="184">
        <v>0</v>
      </c>
      <c r="M19" s="214"/>
      <c r="N19" s="175"/>
      <c r="O19" s="178"/>
      <c r="P19" s="166">
        <f t="shared" si="0"/>
        <v>25.054069999999999</v>
      </c>
      <c r="Q19" s="167">
        <v>0</v>
      </c>
      <c r="R19" s="188">
        <v>0</v>
      </c>
      <c r="S19" s="170">
        <v>10.817345</v>
      </c>
      <c r="T19" s="170">
        <v>0.1825</v>
      </c>
      <c r="U19" s="170">
        <v>11.2087</v>
      </c>
      <c r="V19" s="174">
        <v>0</v>
      </c>
      <c r="W19" s="215">
        <f t="shared" si="1"/>
        <v>2.8455249999999985</v>
      </c>
      <c r="X19" s="284"/>
      <c r="Y19" s="352" t="s">
        <v>292</v>
      </c>
    </row>
    <row r="20" spans="1:25" s="267" customFormat="1" ht="24.6" x14ac:dyDescent="0.3">
      <c r="A20" s="299">
        <v>5872</v>
      </c>
      <c r="B20" s="299" t="s">
        <v>2</v>
      </c>
      <c r="C20" s="299" t="s">
        <v>4</v>
      </c>
      <c r="D20" s="300">
        <v>77.834059999999994</v>
      </c>
      <c r="E20" s="376" t="s">
        <v>207</v>
      </c>
      <c r="F20" s="310">
        <v>77.425388999999996</v>
      </c>
      <c r="G20" s="304" t="s">
        <v>210</v>
      </c>
      <c r="H20" s="310">
        <v>0.40827999999999998</v>
      </c>
      <c r="I20" s="183"/>
      <c r="J20" s="314"/>
      <c r="K20" s="145">
        <v>7.4186399999999999</v>
      </c>
      <c r="L20" s="184">
        <v>0</v>
      </c>
      <c r="M20" s="214"/>
      <c r="N20" s="175"/>
      <c r="O20" s="178"/>
      <c r="P20" s="166">
        <f t="shared" si="0"/>
        <v>77.834059999999994</v>
      </c>
      <c r="Q20" s="167">
        <v>0</v>
      </c>
      <c r="R20" s="188">
        <v>0</v>
      </c>
      <c r="S20" s="170">
        <v>0</v>
      </c>
      <c r="T20" s="170">
        <v>10.018000000000001</v>
      </c>
      <c r="U20" s="170">
        <v>40.052500000000002</v>
      </c>
      <c r="V20" s="174">
        <v>0</v>
      </c>
      <c r="W20" s="373">
        <f t="shared" si="1"/>
        <v>27.763559999999991</v>
      </c>
      <c r="X20" s="284"/>
      <c r="Y20" s="352" t="s">
        <v>293</v>
      </c>
    </row>
    <row r="21" spans="1:25" s="267" customFormat="1" ht="24.6" x14ac:dyDescent="0.3">
      <c r="A21" s="299">
        <v>5877</v>
      </c>
      <c r="B21" s="299" t="s">
        <v>2</v>
      </c>
      <c r="C21" s="299" t="s">
        <v>4</v>
      </c>
      <c r="D21" s="300">
        <v>23.033519999999999</v>
      </c>
      <c r="E21" s="172" t="s">
        <v>213</v>
      </c>
      <c r="F21" s="313">
        <v>23.033524</v>
      </c>
      <c r="G21" s="303"/>
      <c r="H21" s="314"/>
      <c r="I21" s="183"/>
      <c r="J21" s="314"/>
      <c r="K21" s="145">
        <v>2.378851</v>
      </c>
      <c r="L21" s="184">
        <v>0</v>
      </c>
      <c r="M21" s="214"/>
      <c r="N21" s="175"/>
      <c r="O21" s="178"/>
      <c r="P21" s="166">
        <f t="shared" si="0"/>
        <v>17.984067</v>
      </c>
      <c r="Q21" s="167">
        <v>5.0494529999999997</v>
      </c>
      <c r="R21" s="188">
        <v>0</v>
      </c>
      <c r="S21" s="170">
        <v>0</v>
      </c>
      <c r="T21" s="170">
        <v>0</v>
      </c>
      <c r="U21" s="170">
        <v>20.654699999999998</v>
      </c>
      <c r="V21" s="174">
        <v>2.3788399999999998</v>
      </c>
      <c r="W21" s="215">
        <f t="shared" si="1"/>
        <v>-1.9999999999242846E-5</v>
      </c>
      <c r="X21" s="284"/>
      <c r="Y21" s="352" t="s">
        <v>294</v>
      </c>
    </row>
    <row r="22" spans="1:25" s="267" customFormat="1" x14ac:dyDescent="0.3">
      <c r="A22" s="299">
        <v>5878</v>
      </c>
      <c r="B22" s="299" t="s">
        <v>2</v>
      </c>
      <c r="C22" s="299" t="s">
        <v>4</v>
      </c>
      <c r="D22" s="300">
        <v>15.8424</v>
      </c>
      <c r="E22" s="172" t="s">
        <v>209</v>
      </c>
      <c r="F22" s="313">
        <v>15.842396000000001</v>
      </c>
      <c r="G22" s="303"/>
      <c r="H22" s="314"/>
      <c r="I22" s="183"/>
      <c r="J22" s="314"/>
      <c r="K22" s="145">
        <v>0</v>
      </c>
      <c r="L22" s="184">
        <v>0</v>
      </c>
      <c r="M22" s="214"/>
      <c r="N22" s="175"/>
      <c r="O22" s="178"/>
      <c r="P22" s="166">
        <f t="shared" si="0"/>
        <v>15.8424</v>
      </c>
      <c r="Q22" s="167">
        <v>0</v>
      </c>
      <c r="R22" s="188">
        <v>15.8424</v>
      </c>
      <c r="S22" s="170">
        <v>15.842394000000001</v>
      </c>
      <c r="T22" s="170">
        <v>0</v>
      </c>
      <c r="U22" s="170">
        <v>0</v>
      </c>
      <c r="V22" s="174">
        <v>0</v>
      </c>
      <c r="W22" s="215">
        <f t="shared" si="1"/>
        <v>5.999999999062311E-6</v>
      </c>
      <c r="X22" s="284"/>
      <c r="Y22" s="360" t="s">
        <v>305</v>
      </c>
    </row>
    <row r="23" spans="1:25" s="267" customFormat="1" x14ac:dyDescent="0.3">
      <c r="A23" s="299">
        <v>5879</v>
      </c>
      <c r="B23" s="299" t="s">
        <v>2</v>
      </c>
      <c r="C23" s="299" t="s">
        <v>4</v>
      </c>
      <c r="D23" s="300">
        <v>30.00123</v>
      </c>
      <c r="E23" s="354" t="s">
        <v>209</v>
      </c>
      <c r="F23" s="313">
        <v>30.001228999999999</v>
      </c>
      <c r="G23" s="303"/>
      <c r="H23" s="314"/>
      <c r="I23" s="183"/>
      <c r="J23" s="314"/>
      <c r="K23" s="145">
        <v>0.26979300000000001</v>
      </c>
      <c r="L23" s="184">
        <v>0</v>
      </c>
      <c r="M23" s="214"/>
      <c r="N23" s="175"/>
      <c r="O23" s="178"/>
      <c r="P23" s="166">
        <f t="shared" si="0"/>
        <v>3.640229999999999</v>
      </c>
      <c r="Q23" s="167">
        <v>26.361000000000001</v>
      </c>
      <c r="R23" s="188">
        <v>0</v>
      </c>
      <c r="S23" s="170">
        <v>15.842394000000001</v>
      </c>
      <c r="T23" s="170">
        <v>0</v>
      </c>
      <c r="U23" s="170">
        <v>3.356E-2</v>
      </c>
      <c r="V23" s="174">
        <v>0</v>
      </c>
      <c r="W23" s="374">
        <f t="shared" si="1"/>
        <v>14.125275999999999</v>
      </c>
      <c r="X23" s="284"/>
      <c r="Y23" s="359" t="s">
        <v>306</v>
      </c>
    </row>
    <row r="24" spans="1:25" s="267" customFormat="1" x14ac:dyDescent="0.3">
      <c r="A24" s="68" t="s">
        <v>67</v>
      </c>
      <c r="B24" s="68" t="s">
        <v>2</v>
      </c>
      <c r="C24" s="68"/>
      <c r="D24" s="93">
        <f>SUM(D3:D23)</f>
        <v>892.23462700000005</v>
      </c>
      <c r="E24" s="93"/>
      <c r="F24" s="93">
        <f>SUM(F3:F23)</f>
        <v>575.183808</v>
      </c>
      <c r="G24" s="93"/>
      <c r="H24" s="93">
        <f>SUM(H3:H23)</f>
        <v>0.40827999999999998</v>
      </c>
      <c r="I24" s="93"/>
      <c r="J24" s="93">
        <f>SUM(J3:J23)</f>
        <v>0</v>
      </c>
      <c r="K24" s="93">
        <f>SUM(K3:K23)</f>
        <v>106.19393699999999</v>
      </c>
      <c r="L24" s="93">
        <f>SUM(L3:L23)</f>
        <v>1.463217</v>
      </c>
      <c r="M24" s="93"/>
      <c r="N24" s="93">
        <f t="shared" ref="N24:W24" si="2">SUM(N3:N23)</f>
        <v>316.64206200000001</v>
      </c>
      <c r="O24" s="93">
        <f t="shared" si="2"/>
        <v>0</v>
      </c>
      <c r="P24" s="93">
        <f t="shared" si="2"/>
        <v>517.45653199999992</v>
      </c>
      <c r="Q24" s="93">
        <f t="shared" si="2"/>
        <v>374.77809500000001</v>
      </c>
      <c r="R24" s="93">
        <f t="shared" si="2"/>
        <v>66.192353999999995</v>
      </c>
      <c r="S24" s="93">
        <f t="shared" si="2"/>
        <v>84.803028999999995</v>
      </c>
      <c r="T24" s="93">
        <f t="shared" si="2"/>
        <v>40.187000000000005</v>
      </c>
      <c r="U24" s="93">
        <f t="shared" si="2"/>
        <v>160.43044</v>
      </c>
      <c r="V24" s="93">
        <f t="shared" si="2"/>
        <v>2.3788399999999998</v>
      </c>
      <c r="W24" s="93">
        <f t="shared" si="2"/>
        <v>604.43531799999994</v>
      </c>
      <c r="X24" s="93"/>
    </row>
    <row r="25" spans="1:25" s="267" customFormat="1" ht="28.8" x14ac:dyDescent="0.3">
      <c r="A25" s="285"/>
      <c r="B25" s="286"/>
      <c r="C25" s="286"/>
      <c r="D25" s="287"/>
      <c r="E25" s="288"/>
      <c r="F25" s="289"/>
      <c r="G25" s="288"/>
      <c r="H25" s="289"/>
      <c r="I25" s="288"/>
      <c r="J25" s="290"/>
      <c r="K25" s="289"/>
      <c r="L25" s="289"/>
      <c r="M25" s="291"/>
      <c r="N25" s="292"/>
      <c r="O25" s="292"/>
      <c r="P25" s="293"/>
      <c r="Q25" s="294"/>
      <c r="R25" s="295"/>
      <c r="S25" s="391" t="s">
        <v>79</v>
      </c>
      <c r="T25" s="392"/>
      <c r="U25" s="392"/>
      <c r="V25" s="296" t="s">
        <v>85</v>
      </c>
      <c r="W25" s="264"/>
      <c r="X25" s="265" t="s">
        <v>130</v>
      </c>
    </row>
    <row r="26" spans="1:25" s="267" customFormat="1" ht="28.8" x14ac:dyDescent="0.3">
      <c r="A26" s="285"/>
      <c r="B26" s="286"/>
      <c r="C26" s="286"/>
      <c r="D26" s="287"/>
      <c r="E26" s="288"/>
      <c r="F26" s="289"/>
      <c r="G26" s="288"/>
      <c r="H26" s="289"/>
      <c r="I26" s="288"/>
      <c r="J26" s="290"/>
      <c r="K26" s="289"/>
      <c r="L26" s="289"/>
      <c r="M26" s="291"/>
      <c r="N26" s="292"/>
      <c r="O26" s="292"/>
      <c r="P26" s="293"/>
      <c r="Q26" s="294"/>
      <c r="R26" s="295"/>
      <c r="S26" s="242" t="s">
        <v>80</v>
      </c>
      <c r="T26" s="242" t="s">
        <v>81</v>
      </c>
      <c r="U26" s="242" t="s">
        <v>82</v>
      </c>
      <c r="V26" s="297" t="s">
        <v>83</v>
      </c>
      <c r="W26" s="298" t="s">
        <v>84</v>
      </c>
      <c r="X26" s="266"/>
    </row>
    <row r="27" spans="1:25" x14ac:dyDescent="0.3">
      <c r="A27" s="212">
        <v>5401</v>
      </c>
      <c r="B27" s="212" t="s">
        <v>40</v>
      </c>
      <c r="C27" s="212" t="s">
        <v>3</v>
      </c>
      <c r="D27" s="197">
        <v>17.068729999999999</v>
      </c>
      <c r="E27" s="348" t="s">
        <v>214</v>
      </c>
      <c r="F27" s="309">
        <v>17.068726999999999</v>
      </c>
      <c r="G27" s="303"/>
      <c r="H27" s="309"/>
      <c r="I27" s="203"/>
      <c r="J27" s="315"/>
      <c r="K27" s="339">
        <v>15.345164</v>
      </c>
      <c r="L27" s="340">
        <v>0</v>
      </c>
      <c r="M27" s="214"/>
      <c r="N27" s="175"/>
      <c r="O27" s="178"/>
      <c r="P27" s="166">
        <f>D27-Q27</f>
        <v>17.068729999999999</v>
      </c>
      <c r="Q27" s="167">
        <v>0</v>
      </c>
      <c r="R27" s="188">
        <v>4.6201660000000002</v>
      </c>
      <c r="S27" s="170">
        <v>1.9064909999999999</v>
      </c>
      <c r="T27" s="170">
        <v>6.7110000000000003E-2</v>
      </c>
      <c r="U27" s="170">
        <v>0</v>
      </c>
      <c r="V27" s="174">
        <v>0</v>
      </c>
      <c r="W27" s="349">
        <f>D27-(S27+T27+U27+V27)</f>
        <v>15.095128999999998</v>
      </c>
      <c r="Y27" s="350" t="s">
        <v>285</v>
      </c>
    </row>
    <row r="28" spans="1:25" ht="24.6" x14ac:dyDescent="0.3">
      <c r="A28" s="1">
        <v>5402</v>
      </c>
      <c r="B28" s="1" t="s">
        <v>40</v>
      </c>
      <c r="C28" s="1" t="s">
        <v>3</v>
      </c>
      <c r="D28" s="7">
        <v>15.225770000000001</v>
      </c>
      <c r="E28" s="304" t="s">
        <v>215</v>
      </c>
      <c r="F28" s="310">
        <v>9.6241999999999994E-2</v>
      </c>
      <c r="G28" s="304"/>
      <c r="H28" s="310"/>
      <c r="I28" s="308"/>
      <c r="J28" s="310"/>
      <c r="K28" s="341">
        <v>0</v>
      </c>
      <c r="L28" s="254">
        <v>0</v>
      </c>
      <c r="M28" s="53"/>
      <c r="N28" s="52"/>
      <c r="O28" s="152">
        <v>15.129530000000001</v>
      </c>
      <c r="P28" s="166">
        <f t="shared" ref="P28:P85" si="3">D28-Q28</f>
        <v>9.6239999999999881E-2</v>
      </c>
      <c r="Q28" s="16">
        <v>15.129530000000001</v>
      </c>
      <c r="R28" s="35">
        <v>0</v>
      </c>
      <c r="S28" s="13">
        <v>15.225771999999999</v>
      </c>
      <c r="T28" s="13">
        <v>0</v>
      </c>
      <c r="U28" s="13">
        <v>0</v>
      </c>
      <c r="V28" s="56">
        <v>0</v>
      </c>
      <c r="W28" s="29">
        <f t="shared" ref="W28:W85" si="4">D28-(S28+T28+U28+V28)</f>
        <v>-1.9999999985031991E-6</v>
      </c>
      <c r="Y28" s="346" t="s">
        <v>286</v>
      </c>
    </row>
    <row r="29" spans="1:25" ht="24.6" x14ac:dyDescent="0.3">
      <c r="A29" s="212">
        <v>5403</v>
      </c>
      <c r="B29" s="212" t="s">
        <v>40</v>
      </c>
      <c r="C29" s="212" t="s">
        <v>3</v>
      </c>
      <c r="D29" s="160">
        <v>20.492650000000001</v>
      </c>
      <c r="E29" s="303" t="s">
        <v>208</v>
      </c>
      <c r="F29" s="309">
        <v>6.3675920000000001</v>
      </c>
      <c r="G29" s="354" t="s">
        <v>209</v>
      </c>
      <c r="H29" s="315">
        <v>3.4338139999999999</v>
      </c>
      <c r="I29" s="203"/>
      <c r="J29" s="319"/>
      <c r="K29" s="339">
        <v>0</v>
      </c>
      <c r="L29" s="340">
        <v>0</v>
      </c>
      <c r="M29" s="156"/>
      <c r="N29" s="191"/>
      <c r="O29" s="157">
        <v>10.691240000000001</v>
      </c>
      <c r="P29" s="166">
        <f t="shared" si="3"/>
        <v>9.8014100000000006</v>
      </c>
      <c r="Q29" s="16">
        <v>10.691240000000001</v>
      </c>
      <c r="R29" s="168">
        <v>2.5588000000000002</v>
      </c>
      <c r="S29" s="170">
        <v>7.4858269999999996</v>
      </c>
      <c r="T29" s="170">
        <v>3.1381999999999999</v>
      </c>
      <c r="U29" s="170">
        <v>0</v>
      </c>
      <c r="V29" s="174">
        <v>0</v>
      </c>
      <c r="W29" s="353">
        <f t="shared" si="4"/>
        <v>9.8686230000000013</v>
      </c>
      <c r="Y29" s="346" t="s">
        <v>287</v>
      </c>
    </row>
    <row r="30" spans="1:25" ht="24.6" x14ac:dyDescent="0.3">
      <c r="A30" s="1">
        <v>5406</v>
      </c>
      <c r="B30" s="1" t="s">
        <v>40</v>
      </c>
      <c r="C30" s="1" t="s">
        <v>3</v>
      </c>
      <c r="D30" s="4">
        <v>36.001719999999999</v>
      </c>
      <c r="E30" s="355" t="s">
        <v>209</v>
      </c>
      <c r="F30" s="310">
        <v>6.2538460000000002</v>
      </c>
      <c r="G30" s="304" t="s">
        <v>206</v>
      </c>
      <c r="H30" s="310">
        <v>6.5101310000000003</v>
      </c>
      <c r="I30" s="306"/>
      <c r="J30" s="320"/>
      <c r="K30" s="341">
        <v>0</v>
      </c>
      <c r="L30" s="340">
        <v>0</v>
      </c>
      <c r="M30" s="128"/>
      <c r="N30" s="75"/>
      <c r="O30" s="152">
        <v>23.237739999999999</v>
      </c>
      <c r="P30" s="166">
        <f t="shared" si="3"/>
        <v>12.76397</v>
      </c>
      <c r="Q30" s="16">
        <v>23.237749999999998</v>
      </c>
      <c r="R30" s="8">
        <v>1.228675</v>
      </c>
      <c r="S30" s="13">
        <v>17.006333999999999</v>
      </c>
      <c r="T30" s="13">
        <v>7.2436999999999996</v>
      </c>
      <c r="U30" s="13">
        <v>0.72321000000000002</v>
      </c>
      <c r="V30" s="56">
        <v>0</v>
      </c>
      <c r="W30" s="353">
        <f t="shared" si="4"/>
        <v>11.028475999999998</v>
      </c>
      <c r="Y30" s="347" t="s">
        <v>288</v>
      </c>
    </row>
    <row r="31" spans="1:25" x14ac:dyDescent="0.3">
      <c r="A31" s="1">
        <v>5407</v>
      </c>
      <c r="B31" s="1" t="s">
        <v>40</v>
      </c>
      <c r="C31" s="1" t="s">
        <v>3</v>
      </c>
      <c r="D31" s="4">
        <v>14.87828</v>
      </c>
      <c r="E31" s="356" t="s">
        <v>214</v>
      </c>
      <c r="F31" s="310">
        <v>14.878277000000001</v>
      </c>
      <c r="G31" s="304"/>
      <c r="H31" s="310"/>
      <c r="I31" s="87"/>
      <c r="J31" s="321"/>
      <c r="K31" s="341">
        <v>0</v>
      </c>
      <c r="L31" s="340">
        <v>14.87828</v>
      </c>
      <c r="M31" s="128"/>
      <c r="N31" s="75"/>
      <c r="O31" s="141"/>
      <c r="P31" s="166">
        <f t="shared" si="3"/>
        <v>14.87828</v>
      </c>
      <c r="Q31" s="16">
        <v>0</v>
      </c>
      <c r="R31" s="8">
        <v>6.4900060000000002</v>
      </c>
      <c r="S31" s="13">
        <v>0</v>
      </c>
      <c r="T31" s="13">
        <v>0</v>
      </c>
      <c r="U31" s="13">
        <v>0</v>
      </c>
      <c r="V31" s="56">
        <v>0</v>
      </c>
      <c r="W31" s="357">
        <f t="shared" si="4"/>
        <v>14.87828</v>
      </c>
      <c r="Y31" s="347" t="s">
        <v>289</v>
      </c>
    </row>
    <row r="32" spans="1:25" x14ac:dyDescent="0.3">
      <c r="A32" s="1">
        <v>5408</v>
      </c>
      <c r="B32" s="1" t="s">
        <v>40</v>
      </c>
      <c r="C32" s="1" t="s">
        <v>3</v>
      </c>
      <c r="D32" s="4">
        <v>9.5262910000000005</v>
      </c>
      <c r="E32" s="356" t="s">
        <v>214</v>
      </c>
      <c r="F32" s="310">
        <v>9.5262910000000005</v>
      </c>
      <c r="G32" s="88"/>
      <c r="H32" s="318"/>
      <c r="I32" s="87"/>
      <c r="J32" s="321"/>
      <c r="K32" s="341">
        <v>0</v>
      </c>
      <c r="L32" s="340">
        <v>0</v>
      </c>
      <c r="M32" s="128"/>
      <c r="N32" s="75"/>
      <c r="O32" s="141"/>
      <c r="P32" s="166">
        <f t="shared" si="3"/>
        <v>9.5262910000000005</v>
      </c>
      <c r="Q32" s="16">
        <v>0</v>
      </c>
      <c r="R32" s="8">
        <v>6.3101909999999997</v>
      </c>
      <c r="S32" s="13">
        <v>0</v>
      </c>
      <c r="T32" s="13">
        <v>0</v>
      </c>
      <c r="U32" s="13">
        <v>0</v>
      </c>
      <c r="V32" s="56">
        <v>0</v>
      </c>
      <c r="W32" s="357">
        <f t="shared" si="4"/>
        <v>9.5262910000000005</v>
      </c>
      <c r="X32" s="15"/>
      <c r="Y32" s="347" t="s">
        <v>290</v>
      </c>
    </row>
    <row r="33" spans="1:349" x14ac:dyDescent="0.3">
      <c r="A33" s="1">
        <v>5409</v>
      </c>
      <c r="B33" s="1" t="s">
        <v>40</v>
      </c>
      <c r="C33" s="1" t="s">
        <v>3</v>
      </c>
      <c r="D33" s="4">
        <v>32.240679999999998</v>
      </c>
      <c r="E33" s="304" t="s">
        <v>209</v>
      </c>
      <c r="F33" s="310">
        <v>32.240679</v>
      </c>
      <c r="G33" s="305"/>
      <c r="H33" s="311"/>
      <c r="I33" s="87"/>
      <c r="J33" s="321"/>
      <c r="K33" s="341">
        <v>1.630279</v>
      </c>
      <c r="L33" s="340">
        <v>0</v>
      </c>
      <c r="M33" s="128"/>
      <c r="N33" s="75"/>
      <c r="O33" s="152"/>
      <c r="P33" s="166">
        <f t="shared" si="3"/>
        <v>32.240679999999998</v>
      </c>
      <c r="Q33" s="16">
        <v>0</v>
      </c>
      <c r="R33" s="8">
        <v>3.6554989999999998</v>
      </c>
      <c r="S33" s="13">
        <v>23.345285000000001</v>
      </c>
      <c r="T33" s="13">
        <v>0.70050000000000001</v>
      </c>
      <c r="U33" s="13">
        <v>3.5451999999999999</v>
      </c>
      <c r="V33" s="56">
        <v>4.6497200000000003</v>
      </c>
      <c r="W33" s="29">
        <f t="shared" si="4"/>
        <v>-2.5000000007935341E-5</v>
      </c>
      <c r="Y33" s="347" t="s">
        <v>291</v>
      </c>
    </row>
    <row r="34" spans="1:349" x14ac:dyDescent="0.3">
      <c r="A34" s="1">
        <v>5410</v>
      </c>
      <c r="B34" s="1" t="s">
        <v>40</v>
      </c>
      <c r="C34" s="1" t="s">
        <v>3</v>
      </c>
      <c r="D34" s="4">
        <v>6.580552</v>
      </c>
      <c r="E34" s="356" t="s">
        <v>214</v>
      </c>
      <c r="F34" s="310">
        <v>6.580552</v>
      </c>
      <c r="G34" s="88"/>
      <c r="H34" s="318"/>
      <c r="I34" s="87"/>
      <c r="J34" s="321"/>
      <c r="K34" s="341">
        <v>0.96095699999999995</v>
      </c>
      <c r="L34" s="340">
        <v>0</v>
      </c>
      <c r="M34" s="128"/>
      <c r="N34" s="75"/>
      <c r="O34" s="152"/>
      <c r="P34" s="166">
        <f t="shared" si="3"/>
        <v>6.580552</v>
      </c>
      <c r="Q34" s="16">
        <v>0</v>
      </c>
      <c r="R34" s="8">
        <v>5.619599</v>
      </c>
      <c r="S34" s="13">
        <v>0</v>
      </c>
      <c r="T34" s="13">
        <v>0</v>
      </c>
      <c r="U34" s="13">
        <v>0</v>
      </c>
      <c r="V34" s="56">
        <v>0</v>
      </c>
      <c r="W34" s="357">
        <f t="shared" si="4"/>
        <v>6.580552</v>
      </c>
      <c r="Y34" s="347" t="s">
        <v>292</v>
      </c>
    </row>
    <row r="35" spans="1:349" x14ac:dyDescent="0.3">
      <c r="A35" s="1">
        <v>5411</v>
      </c>
      <c r="B35" s="1" t="s">
        <v>40</v>
      </c>
      <c r="C35" s="1" t="s">
        <v>3</v>
      </c>
      <c r="D35" s="4">
        <v>5.8637730000000001</v>
      </c>
      <c r="E35" s="356" t="s">
        <v>214</v>
      </c>
      <c r="F35" s="310">
        <v>5.8637730000000001</v>
      </c>
      <c r="G35" s="304"/>
      <c r="H35" s="310"/>
      <c r="I35" s="87"/>
      <c r="J35" s="321"/>
      <c r="K35" s="341">
        <v>0</v>
      </c>
      <c r="L35" s="340">
        <v>0</v>
      </c>
      <c r="M35" s="128"/>
      <c r="N35" s="75"/>
      <c r="O35" s="152"/>
      <c r="P35" s="166">
        <f t="shared" si="3"/>
        <v>5.8637730000000001</v>
      </c>
      <c r="Q35" s="16">
        <v>0</v>
      </c>
      <c r="R35" s="8">
        <v>0</v>
      </c>
      <c r="S35" s="13">
        <v>0</v>
      </c>
      <c r="T35" s="13">
        <v>0</v>
      </c>
      <c r="U35" s="13">
        <v>0</v>
      </c>
      <c r="V35" s="56">
        <v>0</v>
      </c>
      <c r="W35" s="357">
        <f t="shared" si="4"/>
        <v>5.8637730000000001</v>
      </c>
      <c r="Y35" s="347" t="s">
        <v>293</v>
      </c>
    </row>
    <row r="36" spans="1:349" x14ac:dyDescent="0.3">
      <c r="A36" s="1">
        <v>5412</v>
      </c>
      <c r="B36" s="1" t="s">
        <v>40</v>
      </c>
      <c r="C36" s="1" t="s">
        <v>3</v>
      </c>
      <c r="D36" s="4">
        <v>11.49593</v>
      </c>
      <c r="E36" s="355" t="s">
        <v>209</v>
      </c>
      <c r="F36" s="310">
        <v>11.495933000000001</v>
      </c>
      <c r="G36" s="305"/>
      <c r="H36" s="311"/>
      <c r="I36" s="87"/>
      <c r="J36" s="321"/>
      <c r="K36" s="341">
        <v>6.0164869999999997</v>
      </c>
      <c r="L36" s="340">
        <v>0</v>
      </c>
      <c r="M36" s="128"/>
      <c r="N36" s="75"/>
      <c r="O36" s="152"/>
      <c r="P36" s="166">
        <f t="shared" si="3"/>
        <v>11.49593</v>
      </c>
      <c r="Q36" s="16">
        <v>0</v>
      </c>
      <c r="R36" s="8">
        <v>1.071007</v>
      </c>
      <c r="S36" s="13">
        <v>11.020811</v>
      </c>
      <c r="T36" s="13">
        <v>0</v>
      </c>
      <c r="U36" s="13">
        <v>0</v>
      </c>
      <c r="V36" s="56">
        <v>0</v>
      </c>
      <c r="W36" s="353">
        <f t="shared" si="4"/>
        <v>0.4751189999999994</v>
      </c>
      <c r="X36" s="15"/>
      <c r="Y36" s="347" t="s">
        <v>294</v>
      </c>
      <c r="AA36" s="15"/>
    </row>
    <row r="37" spans="1:349" x14ac:dyDescent="0.3">
      <c r="A37" s="1">
        <v>5413</v>
      </c>
      <c r="B37" s="1" t="s">
        <v>40</v>
      </c>
      <c r="C37" s="1" t="s">
        <v>3</v>
      </c>
      <c r="D37" s="4">
        <v>6.175637</v>
      </c>
      <c r="E37" s="356" t="s">
        <v>214</v>
      </c>
      <c r="F37" s="310">
        <v>6.175637</v>
      </c>
      <c r="G37" s="304"/>
      <c r="H37" s="310"/>
      <c r="I37" s="87"/>
      <c r="J37" s="321"/>
      <c r="K37" s="341">
        <v>0</v>
      </c>
      <c r="L37" s="254">
        <v>0</v>
      </c>
      <c r="M37" s="128"/>
      <c r="N37" s="75"/>
      <c r="O37" s="152"/>
      <c r="P37" s="166">
        <f t="shared" si="3"/>
        <v>6.175637</v>
      </c>
      <c r="Q37" s="16">
        <v>0</v>
      </c>
      <c r="R37" s="8">
        <v>0</v>
      </c>
      <c r="S37" s="13">
        <v>0</v>
      </c>
      <c r="T37" s="13">
        <v>0</v>
      </c>
      <c r="U37" s="13">
        <v>0</v>
      </c>
      <c r="V37" s="56">
        <v>0</v>
      </c>
      <c r="W37" s="357">
        <f t="shared" si="4"/>
        <v>6.175637</v>
      </c>
    </row>
    <row r="38" spans="1:349" ht="24.6" x14ac:dyDescent="0.3">
      <c r="A38" s="1">
        <v>5415</v>
      </c>
      <c r="B38" s="1" t="s">
        <v>40</v>
      </c>
      <c r="C38" s="1" t="s">
        <v>3</v>
      </c>
      <c r="D38" s="4">
        <v>24.024270000000001</v>
      </c>
      <c r="E38" s="304" t="s">
        <v>206</v>
      </c>
      <c r="F38" s="310">
        <v>24.024273999999998</v>
      </c>
      <c r="G38" s="88"/>
      <c r="H38" s="318"/>
      <c r="I38" s="87"/>
      <c r="J38" s="321"/>
      <c r="K38" s="341">
        <v>0</v>
      </c>
      <c r="L38" s="254">
        <v>0</v>
      </c>
      <c r="M38" s="128"/>
      <c r="N38" s="75"/>
      <c r="O38" s="152"/>
      <c r="P38" s="166">
        <f t="shared" si="3"/>
        <v>24.024270000000001</v>
      </c>
      <c r="Q38" s="16">
        <v>0</v>
      </c>
      <c r="R38" s="8">
        <v>3.4962580000000001</v>
      </c>
      <c r="S38" s="13">
        <v>1.042856</v>
      </c>
      <c r="T38" s="13">
        <v>13.95</v>
      </c>
      <c r="U38" s="13">
        <v>9.0319000000000003</v>
      </c>
      <c r="V38" s="56">
        <v>0</v>
      </c>
      <c r="W38" s="29">
        <f t="shared" si="4"/>
        <v>-4.8599999999865418E-4</v>
      </c>
      <c r="Y38" s="351" t="s">
        <v>298</v>
      </c>
    </row>
    <row r="39" spans="1:349" x14ac:dyDescent="0.3">
      <c r="A39" s="1">
        <v>5416</v>
      </c>
      <c r="B39" s="1" t="s">
        <v>40</v>
      </c>
      <c r="C39" s="1" t="s">
        <v>3</v>
      </c>
      <c r="D39" s="4">
        <v>20.061070000000001</v>
      </c>
      <c r="E39" s="356" t="s">
        <v>214</v>
      </c>
      <c r="F39" s="310">
        <v>20.061074000000001</v>
      </c>
      <c r="G39" s="304"/>
      <c r="H39" s="310"/>
      <c r="I39" s="87"/>
      <c r="J39" s="321"/>
      <c r="K39" s="341">
        <v>8.4279999999999994E-2</v>
      </c>
      <c r="L39" s="254">
        <v>0</v>
      </c>
      <c r="M39" s="128"/>
      <c r="N39" s="75"/>
      <c r="O39" s="152"/>
      <c r="P39" s="166">
        <f t="shared" si="3"/>
        <v>20.061070000000001</v>
      </c>
      <c r="Q39" s="16">
        <v>0</v>
      </c>
      <c r="R39" s="8">
        <v>0</v>
      </c>
      <c r="S39" s="13">
        <v>0</v>
      </c>
      <c r="T39" s="13">
        <v>0</v>
      </c>
      <c r="U39" s="13">
        <v>0</v>
      </c>
      <c r="V39" s="56">
        <v>0</v>
      </c>
      <c r="W39" s="357">
        <f t="shared" si="4"/>
        <v>20.061070000000001</v>
      </c>
      <c r="Y39" s="351" t="s">
        <v>295</v>
      </c>
    </row>
    <row r="40" spans="1:349" x14ac:dyDescent="0.3">
      <c r="A40" s="1">
        <v>5418</v>
      </c>
      <c r="B40" s="1" t="s">
        <v>40</v>
      </c>
      <c r="C40" s="1" t="s">
        <v>3</v>
      </c>
      <c r="D40" s="4">
        <v>30.967079999999999</v>
      </c>
      <c r="E40" s="304" t="s">
        <v>209</v>
      </c>
      <c r="F40" s="310">
        <v>30.967077</v>
      </c>
      <c r="G40" s="88"/>
      <c r="H40" s="318"/>
      <c r="I40" s="87"/>
      <c r="J40" s="321"/>
      <c r="K40" s="341">
        <v>0</v>
      </c>
      <c r="L40" s="254">
        <v>0</v>
      </c>
      <c r="M40" s="128"/>
      <c r="N40" s="75"/>
      <c r="O40" s="152"/>
      <c r="P40" s="166">
        <f t="shared" si="3"/>
        <v>30.967079999999999</v>
      </c>
      <c r="Q40" s="16">
        <v>0</v>
      </c>
      <c r="R40" s="8">
        <v>11.48723</v>
      </c>
      <c r="S40" s="13">
        <v>19.93027</v>
      </c>
      <c r="T40" s="13">
        <v>0</v>
      </c>
      <c r="U40" s="13">
        <v>0</v>
      </c>
      <c r="V40" s="56">
        <v>0</v>
      </c>
      <c r="W40" s="29">
        <f t="shared" si="4"/>
        <v>11.036809999999999</v>
      </c>
      <c r="Y40" s="352" t="s">
        <v>288</v>
      </c>
    </row>
    <row r="41" spans="1:349" x14ac:dyDescent="0.3">
      <c r="A41" s="1">
        <v>5419</v>
      </c>
      <c r="B41" s="1" t="s">
        <v>40</v>
      </c>
      <c r="C41" s="1" t="s">
        <v>3</v>
      </c>
      <c r="D41" s="4">
        <v>19.565760000000001</v>
      </c>
      <c r="E41" s="355" t="s">
        <v>209</v>
      </c>
      <c r="F41" s="310">
        <v>19.565761999999999</v>
      </c>
      <c r="G41" s="305"/>
      <c r="H41" s="311"/>
      <c r="I41" s="87"/>
      <c r="J41" s="321"/>
      <c r="K41" s="341">
        <v>5.8548610000000005</v>
      </c>
      <c r="L41" s="254">
        <v>0</v>
      </c>
      <c r="M41" s="128"/>
      <c r="N41" s="75"/>
      <c r="O41" s="141"/>
      <c r="P41" s="166">
        <f t="shared" si="3"/>
        <v>0.68509000000000242</v>
      </c>
      <c r="Q41" s="16">
        <v>18.880669999999999</v>
      </c>
      <c r="R41" s="8">
        <v>0</v>
      </c>
      <c r="S41" s="13">
        <v>8.0546790000000001</v>
      </c>
      <c r="T41" s="13">
        <v>4.0667999999999997</v>
      </c>
      <c r="U41" s="13">
        <v>0</v>
      </c>
      <c r="V41" s="56">
        <v>0</v>
      </c>
      <c r="W41" s="353">
        <f t="shared" si="4"/>
        <v>7.4442810000000001</v>
      </c>
      <c r="Y41" s="352" t="s">
        <v>296</v>
      </c>
    </row>
    <row r="42" spans="1:349" x14ac:dyDescent="0.3">
      <c r="A42" s="1">
        <v>5420</v>
      </c>
      <c r="B42" s="1" t="s">
        <v>40</v>
      </c>
      <c r="C42" s="1" t="s">
        <v>3</v>
      </c>
      <c r="D42" s="4">
        <v>13.46088</v>
      </c>
      <c r="E42" s="305" t="s">
        <v>209</v>
      </c>
      <c r="F42" s="311">
        <v>13.460882</v>
      </c>
      <c r="G42" s="88"/>
      <c r="H42" s="318"/>
      <c r="I42" s="87"/>
      <c r="J42" s="321"/>
      <c r="K42" s="341">
        <v>0</v>
      </c>
      <c r="L42" s="254">
        <v>0</v>
      </c>
      <c r="M42" s="128"/>
      <c r="N42" s="75"/>
      <c r="O42" s="141"/>
      <c r="P42" s="166">
        <f t="shared" si="3"/>
        <v>13.46088</v>
      </c>
      <c r="Q42" s="16">
        <v>0</v>
      </c>
      <c r="R42" s="8">
        <v>12.48813</v>
      </c>
      <c r="S42" s="13">
        <v>11.590661000000001</v>
      </c>
      <c r="T42" s="13">
        <v>0.88260000000000005</v>
      </c>
      <c r="U42" s="13">
        <v>0.98760000000000003</v>
      </c>
      <c r="V42" s="56">
        <v>0</v>
      </c>
      <c r="W42" s="29">
        <f t="shared" si="4"/>
        <v>1.8999999998214889E-5</v>
      </c>
      <c r="Y42" s="352" t="s">
        <v>290</v>
      </c>
    </row>
    <row r="43" spans="1:349" s="51" customFormat="1" x14ac:dyDescent="0.3">
      <c r="A43" s="49">
        <v>5425</v>
      </c>
      <c r="B43" s="49" t="s">
        <v>40</v>
      </c>
      <c r="C43" s="49" t="s">
        <v>3</v>
      </c>
      <c r="D43" s="94">
        <v>9.9435610000000008</v>
      </c>
      <c r="E43" s="361" t="s">
        <v>214</v>
      </c>
      <c r="F43" s="316">
        <v>9.9435610000000008</v>
      </c>
      <c r="G43" s="307"/>
      <c r="H43" s="316"/>
      <c r="I43" s="307"/>
      <c r="J43" s="316"/>
      <c r="K43" s="342">
        <v>4.86E-4</v>
      </c>
      <c r="L43" s="343">
        <v>0</v>
      </c>
      <c r="M43" s="269"/>
      <c r="N43" s="269"/>
      <c r="O43" s="270"/>
      <c r="P43" s="166">
        <f t="shared" si="3"/>
        <v>9.9435610000000008</v>
      </c>
      <c r="Q43" s="271">
        <v>0</v>
      </c>
      <c r="R43" s="272">
        <v>0</v>
      </c>
      <c r="S43" s="280">
        <v>0</v>
      </c>
      <c r="T43" s="280">
        <v>0</v>
      </c>
      <c r="U43" s="280">
        <v>0</v>
      </c>
      <c r="V43" s="281">
        <v>0</v>
      </c>
      <c r="W43" s="357">
        <f t="shared" si="4"/>
        <v>9.9435610000000008</v>
      </c>
      <c r="X43" s="267"/>
      <c r="Y43" s="352" t="s">
        <v>297</v>
      </c>
      <c r="Z43" s="267"/>
      <c r="AA43" s="267"/>
      <c r="AB43" s="267"/>
      <c r="AC43" s="267"/>
      <c r="AD43" s="267"/>
    </row>
    <row r="44" spans="1:349" s="51" customFormat="1" ht="24.6" x14ac:dyDescent="0.3">
      <c r="A44" s="49">
        <v>5426</v>
      </c>
      <c r="B44" s="49" t="s">
        <v>40</v>
      </c>
      <c r="C44" s="49" t="s">
        <v>3</v>
      </c>
      <c r="D44" s="94">
        <v>10.11717</v>
      </c>
      <c r="E44" s="305" t="s">
        <v>208</v>
      </c>
      <c r="F44" s="311">
        <v>10.117171000000001</v>
      </c>
      <c r="G44" s="88"/>
      <c r="H44" s="318"/>
      <c r="I44" s="87"/>
      <c r="J44" s="321"/>
      <c r="K44" s="344">
        <v>0</v>
      </c>
      <c r="L44" s="63">
        <v>0</v>
      </c>
      <c r="M44" s="129"/>
      <c r="N44" s="273"/>
      <c r="O44" s="274"/>
      <c r="P44" s="166">
        <f t="shared" si="3"/>
        <v>10.11717</v>
      </c>
      <c r="Q44" s="165">
        <v>0</v>
      </c>
      <c r="R44" s="106">
        <v>0</v>
      </c>
      <c r="S44" s="362">
        <v>2.2842549999999999</v>
      </c>
      <c r="T44" s="362">
        <v>7.3644999999999996</v>
      </c>
      <c r="U44" s="362">
        <v>3.083E-2</v>
      </c>
      <c r="V44" s="363">
        <v>0</v>
      </c>
      <c r="W44" s="29">
        <f t="shared" si="4"/>
        <v>0.43758500000000033</v>
      </c>
      <c r="X44" s="267"/>
      <c r="Y44" s="352" t="s">
        <v>292</v>
      </c>
      <c r="Z44" s="267"/>
      <c r="AA44" s="267"/>
      <c r="AB44" s="267"/>
      <c r="AC44" s="267"/>
      <c r="AD44" s="267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2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32"/>
      <c r="JW44" s="32"/>
      <c r="JX44" s="32"/>
      <c r="JY44" s="32"/>
      <c r="JZ44" s="32"/>
      <c r="KA44" s="32"/>
      <c r="KB44" s="32"/>
      <c r="KC44" s="32"/>
      <c r="KD44" s="32"/>
      <c r="KE44" s="32"/>
      <c r="KF44" s="32"/>
      <c r="KG44" s="32"/>
      <c r="KH44" s="32"/>
      <c r="KI44" s="32"/>
      <c r="KJ44" s="32"/>
      <c r="KK44" s="32"/>
      <c r="KL44" s="32"/>
      <c r="KM44" s="32"/>
      <c r="KN44" s="32"/>
      <c r="KO44" s="32"/>
      <c r="KP44" s="32"/>
      <c r="KQ44" s="32"/>
      <c r="KR44" s="32"/>
      <c r="KS44" s="32"/>
      <c r="KT44" s="32"/>
      <c r="KU44" s="32"/>
      <c r="KV44" s="32"/>
      <c r="KW44" s="32"/>
      <c r="KX44" s="32"/>
      <c r="KY44" s="32"/>
      <c r="KZ44" s="32"/>
      <c r="LA44" s="32"/>
      <c r="LB44" s="32"/>
      <c r="LC44" s="32"/>
      <c r="LD44" s="32"/>
      <c r="LE44" s="32"/>
      <c r="LF44" s="32"/>
      <c r="LG44" s="32"/>
      <c r="LH44" s="32"/>
      <c r="LI44" s="32"/>
      <c r="LJ44" s="32"/>
      <c r="LK44" s="32"/>
      <c r="LL44" s="32"/>
      <c r="LM44" s="32"/>
      <c r="LN44" s="32"/>
      <c r="LO44" s="32"/>
      <c r="LP44" s="32"/>
      <c r="LQ44" s="32"/>
      <c r="LR44" s="32"/>
      <c r="LS44" s="32"/>
      <c r="LT44" s="32"/>
      <c r="LU44" s="32"/>
      <c r="LV44" s="32"/>
      <c r="LW44" s="32"/>
      <c r="LX44" s="32"/>
      <c r="LY44" s="32"/>
      <c r="LZ44" s="32"/>
      <c r="MA44" s="32"/>
      <c r="MB44" s="32"/>
      <c r="MC44" s="32"/>
      <c r="MD44" s="32"/>
      <c r="ME44" s="32"/>
      <c r="MF44" s="32"/>
      <c r="MG44" s="32"/>
      <c r="MH44" s="32"/>
      <c r="MI44" s="32"/>
      <c r="MJ44" s="32"/>
      <c r="MK44" s="32"/>
    </row>
    <row r="45" spans="1:349" s="51" customFormat="1" x14ac:dyDescent="0.3">
      <c r="A45" s="49">
        <v>5428</v>
      </c>
      <c r="B45" s="49" t="s">
        <v>40</v>
      </c>
      <c r="C45" s="49" t="s">
        <v>3</v>
      </c>
      <c r="D45" s="94">
        <v>14.15104</v>
      </c>
      <c r="E45" s="305"/>
      <c r="F45" s="311"/>
      <c r="G45" s="88"/>
      <c r="H45" s="318"/>
      <c r="I45" s="87"/>
      <c r="J45" s="321"/>
      <c r="K45" s="344">
        <v>0</v>
      </c>
      <c r="L45" s="63">
        <v>0</v>
      </c>
      <c r="M45" s="129" t="s">
        <v>38</v>
      </c>
      <c r="N45" s="277">
        <v>14.15104</v>
      </c>
      <c r="O45" s="274"/>
      <c r="P45" s="166">
        <f t="shared" si="3"/>
        <v>0</v>
      </c>
      <c r="Q45" s="16">
        <v>14.15104</v>
      </c>
      <c r="R45" s="345">
        <v>0</v>
      </c>
      <c r="S45" s="276">
        <v>0</v>
      </c>
      <c r="T45" s="276">
        <v>3.5350000000000001</v>
      </c>
      <c r="U45" s="276">
        <v>0</v>
      </c>
      <c r="V45" s="279">
        <v>0</v>
      </c>
      <c r="W45" s="29">
        <f t="shared" si="4"/>
        <v>10.61604</v>
      </c>
      <c r="X45" s="267"/>
      <c r="Y45" s="352" t="s">
        <v>293</v>
      </c>
      <c r="Z45" s="267"/>
      <c r="AA45" s="267"/>
      <c r="AB45" s="267"/>
      <c r="AC45" s="267"/>
      <c r="AD45" s="267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2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32"/>
      <c r="JW45" s="32"/>
      <c r="JX45" s="32"/>
      <c r="JY45" s="32"/>
      <c r="JZ45" s="32"/>
      <c r="KA45" s="32"/>
      <c r="KB45" s="32"/>
      <c r="KC45" s="32"/>
      <c r="KD45" s="32"/>
      <c r="KE45" s="32"/>
      <c r="KF45" s="32"/>
      <c r="KG45" s="32"/>
      <c r="KH45" s="32"/>
      <c r="KI45" s="32"/>
      <c r="KJ45" s="32"/>
      <c r="KK45" s="32"/>
      <c r="KL45" s="32"/>
      <c r="KM45" s="32"/>
      <c r="KN45" s="32"/>
      <c r="KO45" s="32"/>
      <c r="KP45" s="32"/>
      <c r="KQ45" s="32"/>
      <c r="KR45" s="32"/>
      <c r="KS45" s="32"/>
      <c r="KT45" s="32"/>
      <c r="KU45" s="32"/>
      <c r="KV45" s="32"/>
      <c r="KW45" s="32"/>
      <c r="KX45" s="32"/>
      <c r="KY45" s="32"/>
      <c r="KZ45" s="32"/>
      <c r="LA45" s="32"/>
      <c r="LB45" s="32"/>
      <c r="LC45" s="32"/>
      <c r="LD45" s="32"/>
      <c r="LE45" s="32"/>
      <c r="LF45" s="32"/>
      <c r="LG45" s="32"/>
      <c r="LH45" s="32"/>
      <c r="LI45" s="32"/>
      <c r="LJ45" s="32"/>
      <c r="LK45" s="32"/>
      <c r="LL45" s="32"/>
      <c r="LM45" s="32"/>
      <c r="LN45" s="32"/>
      <c r="LO45" s="32"/>
      <c r="LP45" s="32"/>
      <c r="LQ45" s="32"/>
      <c r="LR45" s="32"/>
      <c r="LS45" s="32"/>
      <c r="LT45" s="32"/>
      <c r="LU45" s="32"/>
      <c r="LV45" s="32"/>
      <c r="LW45" s="32"/>
      <c r="LX45" s="32"/>
      <c r="LY45" s="32"/>
      <c r="LZ45" s="32"/>
      <c r="MA45" s="32"/>
      <c r="MB45" s="32"/>
      <c r="MC45" s="32"/>
      <c r="MD45" s="32"/>
      <c r="ME45" s="32"/>
      <c r="MF45" s="32"/>
      <c r="MG45" s="32"/>
      <c r="MH45" s="32"/>
      <c r="MI45" s="32"/>
      <c r="MJ45" s="32"/>
      <c r="MK45" s="32"/>
    </row>
    <row r="46" spans="1:349" s="51" customFormat="1" ht="24.6" x14ac:dyDescent="0.3">
      <c r="A46" s="49">
        <v>5429</v>
      </c>
      <c r="B46" s="49" t="s">
        <v>40</v>
      </c>
      <c r="C46" s="49" t="s">
        <v>3</v>
      </c>
      <c r="D46" s="94">
        <v>22.206299999999999</v>
      </c>
      <c r="E46" s="305" t="s">
        <v>206</v>
      </c>
      <c r="F46" s="311">
        <v>22.206302000000001</v>
      </c>
      <c r="G46" s="88"/>
      <c r="H46" s="318"/>
      <c r="I46" s="87"/>
      <c r="J46" s="321"/>
      <c r="K46" s="344">
        <v>5.2153090000000004</v>
      </c>
      <c r="L46" s="63">
        <v>0</v>
      </c>
      <c r="M46" s="124"/>
      <c r="N46" s="277"/>
      <c r="O46" s="278"/>
      <c r="P46" s="166">
        <f t="shared" si="3"/>
        <v>22.206299999999999</v>
      </c>
      <c r="Q46" s="16">
        <v>0</v>
      </c>
      <c r="R46" s="106">
        <v>5.2996179999999997</v>
      </c>
      <c r="S46" s="110">
        <v>0</v>
      </c>
      <c r="T46" s="103">
        <v>0</v>
      </c>
      <c r="U46" s="103">
        <v>5.3133499999999998</v>
      </c>
      <c r="V46" s="55">
        <v>0</v>
      </c>
      <c r="W46" s="29">
        <f t="shared" si="4"/>
        <v>16.892949999999999</v>
      </c>
      <c r="X46" s="267"/>
      <c r="Y46" s="352" t="s">
        <v>294</v>
      </c>
      <c r="Z46" s="267"/>
      <c r="AA46" s="267"/>
      <c r="AB46" s="267"/>
      <c r="AC46" s="267"/>
      <c r="AD46" s="267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  <c r="IX46" s="32"/>
      <c r="IY46" s="32"/>
      <c r="IZ46" s="32"/>
      <c r="JA46" s="32"/>
      <c r="JB46" s="32"/>
      <c r="JC46" s="32"/>
      <c r="JD46" s="32"/>
      <c r="JE46" s="32"/>
      <c r="JF46" s="32"/>
      <c r="JG46" s="32"/>
      <c r="JH46" s="32"/>
      <c r="JI46" s="32"/>
      <c r="JJ46" s="32"/>
      <c r="JK46" s="32"/>
      <c r="JL46" s="32"/>
      <c r="JM46" s="32"/>
      <c r="JN46" s="32"/>
      <c r="JO46" s="32"/>
      <c r="JP46" s="32"/>
      <c r="JQ46" s="32"/>
      <c r="JR46" s="32"/>
      <c r="JS46" s="32"/>
      <c r="JT46" s="32"/>
      <c r="JU46" s="32"/>
      <c r="JV46" s="32"/>
      <c r="JW46" s="32"/>
      <c r="JX46" s="32"/>
      <c r="JY46" s="32"/>
      <c r="JZ46" s="32"/>
      <c r="KA46" s="32"/>
      <c r="KB46" s="32"/>
      <c r="KC46" s="32"/>
      <c r="KD46" s="32"/>
      <c r="KE46" s="32"/>
      <c r="KF46" s="32"/>
      <c r="KG46" s="32"/>
      <c r="KH46" s="32"/>
      <c r="KI46" s="32"/>
      <c r="KJ46" s="32"/>
      <c r="KK46" s="32"/>
      <c r="KL46" s="32"/>
      <c r="KM46" s="32"/>
      <c r="KN46" s="32"/>
      <c r="KO46" s="32"/>
      <c r="KP46" s="32"/>
      <c r="KQ46" s="32"/>
      <c r="KR46" s="32"/>
      <c r="KS46" s="32"/>
      <c r="KT46" s="32"/>
      <c r="KU46" s="32"/>
      <c r="KV46" s="32"/>
      <c r="KW46" s="32"/>
      <c r="KX46" s="32"/>
      <c r="KY46" s="32"/>
      <c r="KZ46" s="32"/>
      <c r="LA46" s="32"/>
      <c r="LB46" s="32"/>
      <c r="LC46" s="32"/>
      <c r="LD46" s="32"/>
      <c r="LE46" s="32"/>
      <c r="LF46" s="32"/>
      <c r="LG46" s="32"/>
      <c r="LH46" s="32"/>
      <c r="LI46" s="32"/>
      <c r="LJ46" s="32"/>
      <c r="LK46" s="32"/>
      <c r="LL46" s="32"/>
      <c r="LM46" s="32"/>
      <c r="LN46" s="32"/>
      <c r="LO46" s="32"/>
      <c r="LP46" s="32"/>
      <c r="LQ46" s="32"/>
      <c r="LR46" s="32"/>
      <c r="LS46" s="32"/>
      <c r="LT46" s="32"/>
      <c r="LU46" s="32"/>
      <c r="LV46" s="32"/>
      <c r="LW46" s="32"/>
      <c r="LX46" s="32"/>
      <c r="LY46" s="32"/>
      <c r="LZ46" s="32"/>
      <c r="MA46" s="32"/>
      <c r="MB46" s="32"/>
      <c r="MC46" s="32"/>
      <c r="MD46" s="32"/>
      <c r="ME46" s="32"/>
      <c r="MF46" s="32"/>
      <c r="MG46" s="32"/>
      <c r="MH46" s="32"/>
      <c r="MI46" s="32"/>
      <c r="MJ46" s="32"/>
      <c r="MK46" s="32"/>
    </row>
    <row r="47" spans="1:349" s="51" customFormat="1" x14ac:dyDescent="0.3">
      <c r="A47" s="49">
        <v>5431</v>
      </c>
      <c r="B47" s="49" t="s">
        <v>40</v>
      </c>
      <c r="C47" s="49" t="s">
        <v>3</v>
      </c>
      <c r="D47" s="94">
        <v>94.606549999999999</v>
      </c>
      <c r="E47" s="307"/>
      <c r="F47" s="316"/>
      <c r="G47" s="307"/>
      <c r="H47" s="316"/>
      <c r="I47" s="307"/>
      <c r="J47" s="316"/>
      <c r="K47" s="342">
        <v>0</v>
      </c>
      <c r="L47" s="343">
        <v>0</v>
      </c>
      <c r="M47" s="338" t="s">
        <v>38</v>
      </c>
      <c r="N47" s="269">
        <v>94.606549999999999</v>
      </c>
      <c r="O47" s="270"/>
      <c r="P47" s="166">
        <f t="shared" si="3"/>
        <v>0</v>
      </c>
      <c r="Q47" s="271">
        <v>94.606549999999999</v>
      </c>
      <c r="R47" s="272">
        <v>0.63380899999999996</v>
      </c>
      <c r="S47" s="280">
        <v>0</v>
      </c>
      <c r="T47" s="280">
        <v>23.893999999999998</v>
      </c>
      <c r="U47" s="280">
        <v>41.732900000000001</v>
      </c>
      <c r="V47" s="281">
        <v>4.5522299999999998</v>
      </c>
      <c r="W47" s="29">
        <f t="shared" si="4"/>
        <v>24.427419999999998</v>
      </c>
      <c r="X47" s="267"/>
      <c r="Y47" s="32"/>
      <c r="Z47" s="267"/>
      <c r="AA47" s="267"/>
      <c r="AB47" s="267"/>
      <c r="AC47" s="267"/>
      <c r="AD47" s="267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  <c r="IX47" s="32"/>
      <c r="IY47" s="32"/>
      <c r="IZ47" s="32"/>
      <c r="JA47" s="32"/>
      <c r="JB47" s="32"/>
      <c r="JC47" s="32"/>
      <c r="JD47" s="32"/>
      <c r="JE47" s="32"/>
      <c r="JF47" s="32"/>
      <c r="JG47" s="32"/>
      <c r="JH47" s="32"/>
      <c r="JI47" s="32"/>
      <c r="JJ47" s="32"/>
      <c r="JK47" s="32"/>
      <c r="JL47" s="32"/>
      <c r="JM47" s="32"/>
      <c r="JN47" s="32"/>
      <c r="JO47" s="32"/>
      <c r="JP47" s="32"/>
      <c r="JQ47" s="32"/>
      <c r="JR47" s="32"/>
      <c r="JS47" s="32"/>
      <c r="JT47" s="32"/>
      <c r="JU47" s="32"/>
      <c r="JV47" s="32"/>
      <c r="JW47" s="32"/>
      <c r="JX47" s="32"/>
      <c r="JY47" s="32"/>
      <c r="JZ47" s="32"/>
      <c r="KA47" s="32"/>
      <c r="KB47" s="32"/>
      <c r="KC47" s="32"/>
      <c r="KD47" s="32"/>
      <c r="KE47" s="32"/>
      <c r="KF47" s="32"/>
      <c r="KG47" s="32"/>
      <c r="KH47" s="32"/>
      <c r="KI47" s="32"/>
      <c r="KJ47" s="32"/>
      <c r="KK47" s="32"/>
      <c r="KL47" s="32"/>
      <c r="KM47" s="32"/>
      <c r="KN47" s="32"/>
      <c r="KO47" s="32"/>
      <c r="KP47" s="32"/>
      <c r="KQ47" s="32"/>
      <c r="KR47" s="32"/>
      <c r="KS47" s="32"/>
      <c r="KT47" s="32"/>
      <c r="KU47" s="32"/>
      <c r="KV47" s="32"/>
      <c r="KW47" s="32"/>
      <c r="KX47" s="32"/>
      <c r="KY47" s="32"/>
      <c r="KZ47" s="32"/>
      <c r="LA47" s="32"/>
      <c r="LB47" s="32"/>
      <c r="LC47" s="32"/>
      <c r="LD47" s="32"/>
      <c r="LE47" s="32"/>
      <c r="LF47" s="32"/>
      <c r="LG47" s="32"/>
      <c r="LH47" s="32"/>
      <c r="LI47" s="32"/>
      <c r="LJ47" s="32"/>
      <c r="LK47" s="32"/>
      <c r="LL47" s="32"/>
      <c r="LM47" s="32"/>
      <c r="LN47" s="32"/>
      <c r="LO47" s="32"/>
      <c r="LP47" s="32"/>
      <c r="LQ47" s="32"/>
      <c r="LR47" s="32"/>
      <c r="LS47" s="32"/>
      <c r="LT47" s="32"/>
      <c r="LU47" s="32"/>
      <c r="LV47" s="32"/>
      <c r="LW47" s="32"/>
      <c r="LX47" s="32"/>
      <c r="LY47" s="32"/>
      <c r="LZ47" s="32"/>
      <c r="MA47" s="32"/>
      <c r="MB47" s="32"/>
      <c r="MC47" s="32"/>
      <c r="MD47" s="32"/>
      <c r="ME47" s="32"/>
      <c r="MF47" s="32"/>
      <c r="MG47" s="32"/>
      <c r="MH47" s="32"/>
      <c r="MI47" s="32"/>
      <c r="MJ47" s="32"/>
      <c r="MK47" s="32"/>
    </row>
    <row r="48" spans="1:349" x14ac:dyDescent="0.3">
      <c r="A48" s="49">
        <v>5433</v>
      </c>
      <c r="B48" s="49" t="s">
        <v>40</v>
      </c>
      <c r="C48" s="49" t="s">
        <v>3</v>
      </c>
      <c r="D48" s="94">
        <v>30.78134</v>
      </c>
      <c r="E48" s="365" t="s">
        <v>209</v>
      </c>
      <c r="F48" s="311">
        <v>30.781343</v>
      </c>
      <c r="G48" s="88"/>
      <c r="H48" s="318"/>
      <c r="I48" s="87"/>
      <c r="J48" s="321"/>
      <c r="K48" s="344">
        <v>28.991675000000001</v>
      </c>
      <c r="L48" s="63">
        <v>0</v>
      </c>
      <c r="M48" s="129"/>
      <c r="N48" s="273"/>
      <c r="O48" s="274"/>
      <c r="P48" s="166">
        <f t="shared" si="3"/>
        <v>30.586151999999998</v>
      </c>
      <c r="Q48" s="165">
        <v>0.195188</v>
      </c>
      <c r="R48" s="106">
        <v>0</v>
      </c>
      <c r="S48" s="364">
        <v>0</v>
      </c>
      <c r="T48" s="364">
        <v>1.7896000000000001</v>
      </c>
      <c r="U48" s="364">
        <v>0</v>
      </c>
      <c r="V48" s="363">
        <v>0</v>
      </c>
      <c r="W48" s="353">
        <f t="shared" si="4"/>
        <v>28.99174</v>
      </c>
      <c r="X48" s="267"/>
      <c r="Y48" s="358" t="s">
        <v>301</v>
      </c>
      <c r="Z48" s="267"/>
      <c r="AA48" s="267"/>
      <c r="AB48" s="267"/>
      <c r="AC48" s="267"/>
      <c r="AD48" s="267"/>
    </row>
    <row r="49" spans="1:30" x14ac:dyDescent="0.3">
      <c r="A49" s="49">
        <v>5435</v>
      </c>
      <c r="B49" s="49" t="s">
        <v>40</v>
      </c>
      <c r="C49" s="49" t="s">
        <v>3</v>
      </c>
      <c r="D49" s="268">
        <v>15.943490000000001</v>
      </c>
      <c r="E49" s="305" t="s">
        <v>209</v>
      </c>
      <c r="F49" s="311">
        <v>15.943485000000001</v>
      </c>
      <c r="G49" s="88"/>
      <c r="H49" s="318"/>
      <c r="I49" s="87"/>
      <c r="J49" s="321"/>
      <c r="K49" s="344">
        <v>0</v>
      </c>
      <c r="L49" s="63">
        <v>0</v>
      </c>
      <c r="M49" s="129"/>
      <c r="N49" s="273"/>
      <c r="O49" s="274"/>
      <c r="P49" s="166">
        <f t="shared" si="3"/>
        <v>15.943490000000001</v>
      </c>
      <c r="Q49" s="16">
        <v>0</v>
      </c>
      <c r="R49" s="275">
        <v>0</v>
      </c>
      <c r="S49" s="276">
        <v>15.943485000000001</v>
      </c>
      <c r="T49" s="276">
        <v>0</v>
      </c>
      <c r="U49" s="276">
        <v>0</v>
      </c>
      <c r="V49" s="279">
        <v>0</v>
      </c>
      <c r="W49" s="29">
        <f t="shared" si="4"/>
        <v>4.9999999998107114E-6</v>
      </c>
      <c r="X49" s="267"/>
      <c r="Y49" s="358" t="s">
        <v>288</v>
      </c>
      <c r="Z49" s="267"/>
      <c r="AA49" s="267"/>
      <c r="AB49" s="267"/>
      <c r="AC49" s="267"/>
      <c r="AD49" s="267"/>
    </row>
    <row r="50" spans="1:30" x14ac:dyDescent="0.3">
      <c r="A50" s="49">
        <v>5436</v>
      </c>
      <c r="B50" s="223" t="s">
        <v>40</v>
      </c>
      <c r="C50" s="49" t="s">
        <v>3</v>
      </c>
      <c r="D50" s="94">
        <v>16.392410000000002</v>
      </c>
      <c r="E50" s="365" t="s">
        <v>209</v>
      </c>
      <c r="F50" s="311">
        <v>16.392410999999999</v>
      </c>
      <c r="G50" s="304"/>
      <c r="H50" s="310"/>
      <c r="I50" s="308"/>
      <c r="J50" s="322"/>
      <c r="K50" s="344">
        <v>0</v>
      </c>
      <c r="L50" s="254">
        <v>0</v>
      </c>
      <c r="M50" s="129"/>
      <c r="N50" s="76"/>
      <c r="O50" s="194"/>
      <c r="P50" s="166">
        <f t="shared" si="3"/>
        <v>0</v>
      </c>
      <c r="Q50" s="165">
        <v>16.392410000000002</v>
      </c>
      <c r="R50" s="8">
        <v>0</v>
      </c>
      <c r="S50" s="110">
        <v>2.091E-3</v>
      </c>
      <c r="T50" s="103">
        <v>0</v>
      </c>
      <c r="U50" s="103">
        <v>0.91015999999999997</v>
      </c>
      <c r="V50" s="104">
        <v>0</v>
      </c>
      <c r="W50" s="353">
        <f t="shared" si="4"/>
        <v>15.480159000000002</v>
      </c>
      <c r="Y50" s="358" t="s">
        <v>302</v>
      </c>
    </row>
    <row r="51" spans="1:30" x14ac:dyDescent="0.3">
      <c r="A51" s="49">
        <v>5437</v>
      </c>
      <c r="B51" s="49" t="s">
        <v>40</v>
      </c>
      <c r="C51" s="49" t="s">
        <v>3</v>
      </c>
      <c r="D51" s="94">
        <v>12.43525</v>
      </c>
      <c r="E51" s="305" t="s">
        <v>209</v>
      </c>
      <c r="F51" s="311">
        <v>12.43525</v>
      </c>
      <c r="G51" s="304"/>
      <c r="H51" s="310"/>
      <c r="I51" s="308"/>
      <c r="J51" s="322"/>
      <c r="K51" s="344">
        <v>0</v>
      </c>
      <c r="L51" s="254">
        <v>0</v>
      </c>
      <c r="M51" s="129"/>
      <c r="N51" s="76"/>
      <c r="O51" s="194"/>
      <c r="P51" s="166">
        <f t="shared" si="3"/>
        <v>12.43525</v>
      </c>
      <c r="Q51" s="16">
        <v>0</v>
      </c>
      <c r="R51" s="8">
        <v>12.43525</v>
      </c>
      <c r="S51" s="13">
        <v>0.26477000000000001</v>
      </c>
      <c r="T51" s="103">
        <v>12.17</v>
      </c>
      <c r="U51" s="103">
        <v>0</v>
      </c>
      <c r="V51" s="104">
        <v>0</v>
      </c>
      <c r="W51" s="29">
        <f t="shared" si="4"/>
        <v>4.7999999999959186E-4</v>
      </c>
      <c r="Y51" s="358" t="s">
        <v>303</v>
      </c>
    </row>
    <row r="52" spans="1:30" ht="24.6" x14ac:dyDescent="0.3">
      <c r="A52" s="49">
        <v>5449</v>
      </c>
      <c r="B52" s="49" t="s">
        <v>40</v>
      </c>
      <c r="C52" s="49" t="s">
        <v>3</v>
      </c>
      <c r="D52" s="94">
        <v>9.8066840000000006</v>
      </c>
      <c r="E52" s="305" t="s">
        <v>206</v>
      </c>
      <c r="F52" s="311">
        <v>9.8066840000000006</v>
      </c>
      <c r="G52" s="88"/>
      <c r="H52" s="318"/>
      <c r="I52" s="87"/>
      <c r="J52" s="321"/>
      <c r="K52" s="344">
        <v>0</v>
      </c>
      <c r="L52" s="63">
        <v>0</v>
      </c>
      <c r="M52" s="124"/>
      <c r="N52" s="74"/>
      <c r="O52" s="194"/>
      <c r="P52" s="166">
        <f t="shared" si="3"/>
        <v>1.4837050000000005</v>
      </c>
      <c r="Q52" s="16">
        <v>8.3229790000000001</v>
      </c>
      <c r="R52" s="8">
        <v>0</v>
      </c>
      <c r="S52" s="110">
        <v>9.6242940000000008</v>
      </c>
      <c r="T52" s="103">
        <v>0.18240000000000001</v>
      </c>
      <c r="U52" s="103">
        <v>0</v>
      </c>
      <c r="V52" s="104">
        <v>0</v>
      </c>
      <c r="W52" s="29">
        <f t="shared" si="4"/>
        <v>-9.9999999996214228E-6</v>
      </c>
      <c r="Y52" s="358" t="s">
        <v>304</v>
      </c>
    </row>
    <row r="53" spans="1:30" ht="24.6" x14ac:dyDescent="0.3">
      <c r="A53" s="49">
        <v>5454</v>
      </c>
      <c r="B53" s="49" t="s">
        <v>40</v>
      </c>
      <c r="C53" s="49" t="s">
        <v>3</v>
      </c>
      <c r="D53" s="94">
        <v>12.07837</v>
      </c>
      <c r="E53" s="306" t="s">
        <v>216</v>
      </c>
      <c r="F53" s="317">
        <v>12.078366000000001</v>
      </c>
      <c r="G53" s="88"/>
      <c r="H53" s="318"/>
      <c r="I53" s="87"/>
      <c r="J53" s="321"/>
      <c r="K53" s="344">
        <v>0.19128600000000001</v>
      </c>
      <c r="L53" s="63">
        <v>0</v>
      </c>
      <c r="M53" s="129"/>
      <c r="N53" s="76"/>
      <c r="O53" s="194"/>
      <c r="P53" s="166">
        <f t="shared" si="3"/>
        <v>12.07837</v>
      </c>
      <c r="Q53" s="165">
        <v>0</v>
      </c>
      <c r="R53" s="8">
        <v>10.420310000000001</v>
      </c>
      <c r="S53" s="110">
        <v>0</v>
      </c>
      <c r="T53" s="103">
        <v>10.7</v>
      </c>
      <c r="U53" s="103">
        <v>0</v>
      </c>
      <c r="V53" s="104">
        <v>0</v>
      </c>
      <c r="W53" s="29">
        <f t="shared" si="4"/>
        <v>1.3783700000000003</v>
      </c>
      <c r="Y53" s="358" t="s">
        <v>299</v>
      </c>
    </row>
    <row r="54" spans="1:30" x14ac:dyDescent="0.3">
      <c r="A54" s="49">
        <v>5471</v>
      </c>
      <c r="B54" s="49" t="s">
        <v>40</v>
      </c>
      <c r="C54" s="49" t="s">
        <v>3</v>
      </c>
      <c r="D54" s="94">
        <v>16.349029999999999</v>
      </c>
      <c r="E54" s="305" t="s">
        <v>209</v>
      </c>
      <c r="F54" s="311">
        <v>16.349027</v>
      </c>
      <c r="G54" s="88"/>
      <c r="H54" s="318"/>
      <c r="I54" s="87"/>
      <c r="J54" s="321"/>
      <c r="K54" s="344">
        <v>3.1854469999999999</v>
      </c>
      <c r="L54" s="63">
        <v>0</v>
      </c>
      <c r="M54" s="124"/>
      <c r="N54" s="74"/>
      <c r="O54" s="194"/>
      <c r="P54" s="166">
        <f t="shared" si="3"/>
        <v>16.349029999999999</v>
      </c>
      <c r="Q54" s="16">
        <v>0</v>
      </c>
      <c r="R54" s="106">
        <v>7.275169</v>
      </c>
      <c r="S54" s="110">
        <v>0</v>
      </c>
      <c r="T54" s="103">
        <v>0</v>
      </c>
      <c r="U54" s="103">
        <v>8.2194699999999994</v>
      </c>
      <c r="V54" s="104">
        <v>0</v>
      </c>
      <c r="W54" s="29">
        <f t="shared" si="4"/>
        <v>8.1295599999999997</v>
      </c>
      <c r="Y54" s="358" t="s">
        <v>300</v>
      </c>
    </row>
    <row r="55" spans="1:30" x14ac:dyDescent="0.3">
      <c r="A55" s="49">
        <v>5526</v>
      </c>
      <c r="B55" s="49" t="s">
        <v>40</v>
      </c>
      <c r="C55" s="49" t="s">
        <v>6</v>
      </c>
      <c r="D55" s="94">
        <v>21.214870000000001</v>
      </c>
      <c r="E55" s="306"/>
      <c r="F55" s="310"/>
      <c r="G55" s="88"/>
      <c r="H55" s="318"/>
      <c r="I55" s="87"/>
      <c r="J55" s="321"/>
      <c r="K55" s="344">
        <v>0</v>
      </c>
      <c r="L55" s="63">
        <v>0</v>
      </c>
      <c r="M55" s="124"/>
      <c r="N55" s="74"/>
      <c r="O55" s="194">
        <v>21.214870000000001</v>
      </c>
      <c r="P55" s="166">
        <f t="shared" si="3"/>
        <v>0</v>
      </c>
      <c r="Q55" s="165">
        <v>21.214870000000001</v>
      </c>
      <c r="R55" s="106">
        <v>0</v>
      </c>
      <c r="S55" s="110">
        <v>0</v>
      </c>
      <c r="T55" s="103">
        <v>10.055</v>
      </c>
      <c r="U55" s="103">
        <v>0</v>
      </c>
      <c r="V55" s="104">
        <v>0</v>
      </c>
      <c r="W55" s="366">
        <f t="shared" si="4"/>
        <v>11.159870000000002</v>
      </c>
      <c r="Y55" s="358" t="s">
        <v>294</v>
      </c>
    </row>
    <row r="56" spans="1:30" x14ac:dyDescent="0.3">
      <c r="A56" s="49">
        <v>5527</v>
      </c>
      <c r="B56" s="49" t="s">
        <v>40</v>
      </c>
      <c r="C56" s="49" t="s">
        <v>6</v>
      </c>
      <c r="D56" s="94">
        <v>12.17967</v>
      </c>
      <c r="E56" s="306" t="s">
        <v>209</v>
      </c>
      <c r="F56" s="310">
        <v>12.179665999999999</v>
      </c>
      <c r="G56" s="88"/>
      <c r="H56" s="318"/>
      <c r="I56" s="87"/>
      <c r="J56" s="321"/>
      <c r="K56" s="177">
        <v>1.5908519999999999</v>
      </c>
      <c r="L56" s="63">
        <v>0</v>
      </c>
      <c r="M56" s="129"/>
      <c r="N56" s="76"/>
      <c r="O56" s="194"/>
      <c r="P56" s="166">
        <f t="shared" si="3"/>
        <v>12.17967</v>
      </c>
      <c r="Q56" s="16">
        <v>0</v>
      </c>
      <c r="R56" s="8">
        <v>0</v>
      </c>
      <c r="S56" s="13">
        <v>12.106452000000001</v>
      </c>
      <c r="T56" s="103">
        <v>0</v>
      </c>
      <c r="U56" s="103">
        <v>7.3209999999999997E-2</v>
      </c>
      <c r="V56" s="104">
        <v>0</v>
      </c>
      <c r="W56" s="29">
        <f t="shared" si="4"/>
        <v>7.9999999993418669E-6</v>
      </c>
    </row>
    <row r="57" spans="1:30" x14ac:dyDescent="0.3">
      <c r="A57" s="49">
        <v>5528</v>
      </c>
      <c r="B57" s="49" t="s">
        <v>40</v>
      </c>
      <c r="C57" s="49" t="s">
        <v>6</v>
      </c>
      <c r="D57" s="94">
        <v>10.2477</v>
      </c>
      <c r="E57" s="367" t="s">
        <v>214</v>
      </c>
      <c r="F57" s="311">
        <v>10.247700999999999</v>
      </c>
      <c r="G57" s="88"/>
      <c r="H57" s="318"/>
      <c r="I57" s="87"/>
      <c r="J57" s="321"/>
      <c r="K57" s="177">
        <v>0</v>
      </c>
      <c r="L57" s="63">
        <v>0</v>
      </c>
      <c r="M57" s="129"/>
      <c r="N57" s="76"/>
      <c r="O57" s="194"/>
      <c r="P57" s="166">
        <f t="shared" si="3"/>
        <v>10.2477</v>
      </c>
      <c r="Q57" s="16">
        <v>0</v>
      </c>
      <c r="R57" s="8">
        <v>1.8463050000000001</v>
      </c>
      <c r="S57" s="110">
        <v>0</v>
      </c>
      <c r="T57" s="103">
        <v>0</v>
      </c>
      <c r="U57" s="103">
        <v>0</v>
      </c>
      <c r="V57" s="104">
        <v>0</v>
      </c>
      <c r="W57" s="357">
        <f t="shared" si="4"/>
        <v>10.2477</v>
      </c>
      <c r="Y57" s="360" t="s">
        <v>305</v>
      </c>
    </row>
    <row r="58" spans="1:30" x14ac:dyDescent="0.3">
      <c r="A58" s="49">
        <v>5529</v>
      </c>
      <c r="B58" s="49" t="s">
        <v>40</v>
      </c>
      <c r="C58" s="49" t="s">
        <v>6</v>
      </c>
      <c r="D58" s="94">
        <v>12.923690000000001</v>
      </c>
      <c r="E58" s="367" t="s">
        <v>214</v>
      </c>
      <c r="F58" s="311">
        <v>12.923692000000001</v>
      </c>
      <c r="G58" s="88"/>
      <c r="H58" s="318"/>
      <c r="I58" s="87"/>
      <c r="J58" s="321"/>
      <c r="K58" s="140">
        <v>1.897767</v>
      </c>
      <c r="L58" s="63">
        <v>12.034725</v>
      </c>
      <c r="M58" s="129"/>
      <c r="N58" s="76"/>
      <c r="O58" s="194"/>
      <c r="P58" s="166">
        <f t="shared" si="3"/>
        <v>12.923690000000001</v>
      </c>
      <c r="Q58" s="16">
        <v>0</v>
      </c>
      <c r="R58" s="8">
        <v>11.02665</v>
      </c>
      <c r="S58" s="13">
        <v>0</v>
      </c>
      <c r="T58" s="103">
        <v>0</v>
      </c>
      <c r="U58" s="103">
        <v>0</v>
      </c>
      <c r="V58" s="104">
        <v>0</v>
      </c>
      <c r="W58" s="357">
        <f t="shared" si="4"/>
        <v>12.923690000000001</v>
      </c>
    </row>
    <row r="59" spans="1:30" ht="24.6" x14ac:dyDescent="0.3">
      <c r="A59" s="49">
        <v>5530</v>
      </c>
      <c r="B59" s="49" t="s">
        <v>40</v>
      </c>
      <c r="C59" s="49" t="s">
        <v>6</v>
      </c>
      <c r="D59" s="94">
        <v>16.950600000000001</v>
      </c>
      <c r="E59" s="369" t="s">
        <v>205</v>
      </c>
      <c r="F59" s="311">
        <v>16.950596000000001</v>
      </c>
      <c r="G59" s="88"/>
      <c r="H59" s="318"/>
      <c r="I59" s="87"/>
      <c r="J59" s="321"/>
      <c r="K59" s="177">
        <v>3.6038760000000001</v>
      </c>
      <c r="L59" s="63">
        <v>0</v>
      </c>
      <c r="M59" s="129"/>
      <c r="N59" s="76"/>
      <c r="O59" s="194"/>
      <c r="P59" s="166">
        <f t="shared" si="3"/>
        <v>16.950600000000001</v>
      </c>
      <c r="Q59" s="16">
        <v>0</v>
      </c>
      <c r="R59" s="8">
        <v>0</v>
      </c>
      <c r="S59" s="110">
        <v>0</v>
      </c>
      <c r="T59" s="103">
        <v>0</v>
      </c>
      <c r="U59" s="103">
        <v>15.4962</v>
      </c>
      <c r="V59" s="104">
        <v>0</v>
      </c>
      <c r="W59" s="368">
        <f t="shared" si="4"/>
        <v>1.4544000000000015</v>
      </c>
    </row>
    <row r="60" spans="1:30" x14ac:dyDescent="0.3">
      <c r="A60" s="49">
        <v>5531</v>
      </c>
      <c r="B60" s="49" t="s">
        <v>40</v>
      </c>
      <c r="C60" s="49" t="s">
        <v>6</v>
      </c>
      <c r="D60" s="94">
        <v>13.42005</v>
      </c>
      <c r="E60" s="367" t="s">
        <v>214</v>
      </c>
      <c r="F60" s="311">
        <v>13.420045999999999</v>
      </c>
      <c r="G60" s="88"/>
      <c r="H60" s="318"/>
      <c r="I60" s="87"/>
      <c r="J60" s="321"/>
      <c r="K60" s="140">
        <v>5.0355480000000004</v>
      </c>
      <c r="L60" s="63">
        <v>1.2525740000000001</v>
      </c>
      <c r="M60" s="129"/>
      <c r="N60" s="76"/>
      <c r="O60" s="194"/>
      <c r="P60" s="166">
        <f t="shared" si="3"/>
        <v>13.42005</v>
      </c>
      <c r="Q60" s="16">
        <v>0</v>
      </c>
      <c r="R60" s="8">
        <v>10.786820000000001</v>
      </c>
      <c r="S60" s="13">
        <v>0</v>
      </c>
      <c r="T60" s="103">
        <v>0</v>
      </c>
      <c r="U60" s="103">
        <v>0</v>
      </c>
      <c r="V60" s="104">
        <v>0</v>
      </c>
      <c r="W60" s="357">
        <f t="shared" si="4"/>
        <v>13.42005</v>
      </c>
    </row>
    <row r="61" spans="1:30" ht="24.6" x14ac:dyDescent="0.3">
      <c r="A61" s="49">
        <v>5532</v>
      </c>
      <c r="B61" s="49" t="s">
        <v>40</v>
      </c>
      <c r="C61" s="49" t="s">
        <v>6</v>
      </c>
      <c r="D61" s="94">
        <v>26.587669999999999</v>
      </c>
      <c r="E61" s="305" t="s">
        <v>208</v>
      </c>
      <c r="F61" s="311">
        <v>23.737233</v>
      </c>
      <c r="G61" s="88"/>
      <c r="H61" s="318"/>
      <c r="I61" s="87"/>
      <c r="J61" s="321"/>
      <c r="K61" s="140">
        <v>13.703675</v>
      </c>
      <c r="L61" s="63">
        <v>9.958024</v>
      </c>
      <c r="M61" s="129"/>
      <c r="N61" s="76"/>
      <c r="O61" s="194">
        <v>2.8504339999999999</v>
      </c>
      <c r="P61" s="166">
        <f t="shared" si="3"/>
        <v>23.737235999999999</v>
      </c>
      <c r="Q61" s="16">
        <v>2.8504339999999999</v>
      </c>
      <c r="R61" s="8">
        <v>3.7576640000000001</v>
      </c>
      <c r="S61" s="110">
        <v>23.683052</v>
      </c>
      <c r="T61" s="103">
        <v>0</v>
      </c>
      <c r="U61" s="103">
        <v>0</v>
      </c>
      <c r="V61" s="104">
        <v>0</v>
      </c>
      <c r="W61" s="366">
        <f t="shared" si="4"/>
        <v>2.9046179999999993</v>
      </c>
    </row>
    <row r="62" spans="1:30" x14ac:dyDescent="0.3">
      <c r="A62" s="49">
        <v>5534</v>
      </c>
      <c r="B62" s="49" t="s">
        <v>40</v>
      </c>
      <c r="C62" s="49" t="s">
        <v>6</v>
      </c>
      <c r="D62" s="94">
        <v>36.329389999999997</v>
      </c>
      <c r="E62" s="367" t="s">
        <v>214</v>
      </c>
      <c r="F62" s="311">
        <v>36.329394000000001</v>
      </c>
      <c r="G62" s="88"/>
      <c r="H62" s="318"/>
      <c r="I62" s="87"/>
      <c r="J62" s="321"/>
      <c r="K62" s="140">
        <v>24.441179999999999</v>
      </c>
      <c r="L62" s="63">
        <v>31.18299</v>
      </c>
      <c r="M62" s="129"/>
      <c r="N62" s="76"/>
      <c r="O62" s="194"/>
      <c r="P62" s="166">
        <f t="shared" si="3"/>
        <v>36.329389999999997</v>
      </c>
      <c r="Q62" s="16">
        <v>0</v>
      </c>
      <c r="R62" s="8">
        <v>36.329389999999997</v>
      </c>
      <c r="S62" s="13">
        <v>0</v>
      </c>
      <c r="T62" s="103">
        <v>0</v>
      </c>
      <c r="U62" s="103">
        <v>0</v>
      </c>
      <c r="V62" s="104">
        <v>0</v>
      </c>
      <c r="W62" s="357">
        <f t="shared" si="4"/>
        <v>36.329389999999997</v>
      </c>
    </row>
    <row r="63" spans="1:30" x14ac:dyDescent="0.3">
      <c r="A63" s="49">
        <v>5535</v>
      </c>
      <c r="B63" s="49" t="s">
        <v>40</v>
      </c>
      <c r="C63" s="49" t="s">
        <v>6</v>
      </c>
      <c r="D63" s="94">
        <v>13.55878</v>
      </c>
      <c r="E63" s="367" t="s">
        <v>214</v>
      </c>
      <c r="F63" s="311">
        <v>13.558778999999999</v>
      </c>
      <c r="G63" s="88"/>
      <c r="H63" s="318"/>
      <c r="I63" s="87"/>
      <c r="J63" s="321"/>
      <c r="K63" s="140">
        <v>0.41520099999999999</v>
      </c>
      <c r="L63" s="63">
        <v>0</v>
      </c>
      <c r="M63" s="129"/>
      <c r="N63" s="76"/>
      <c r="O63" s="194"/>
      <c r="P63" s="166">
        <f t="shared" si="3"/>
        <v>13.55878</v>
      </c>
      <c r="Q63" s="16">
        <v>0</v>
      </c>
      <c r="R63" s="8">
        <v>8.3342650000000003</v>
      </c>
      <c r="S63" s="13">
        <v>0</v>
      </c>
      <c r="T63" s="103">
        <v>0</v>
      </c>
      <c r="U63" s="103">
        <v>0</v>
      </c>
      <c r="V63" s="104">
        <v>0</v>
      </c>
      <c r="W63" s="357">
        <f t="shared" si="4"/>
        <v>13.55878</v>
      </c>
    </row>
    <row r="64" spans="1:30" ht="24.6" x14ac:dyDescent="0.3">
      <c r="A64" s="49">
        <v>5536</v>
      </c>
      <c r="B64" s="49" t="s">
        <v>40</v>
      </c>
      <c r="C64" s="49" t="s">
        <v>6</v>
      </c>
      <c r="D64" s="94">
        <v>13.620990000000001</v>
      </c>
      <c r="E64" s="305" t="s">
        <v>206</v>
      </c>
      <c r="F64" s="311">
        <v>13.620993</v>
      </c>
      <c r="G64" s="88"/>
      <c r="H64" s="318"/>
      <c r="I64" s="87"/>
      <c r="J64" s="321"/>
      <c r="K64" s="177">
        <v>0.119701</v>
      </c>
      <c r="L64" s="63">
        <v>0</v>
      </c>
      <c r="M64" s="124"/>
      <c r="N64" s="74"/>
      <c r="O64" s="194"/>
      <c r="P64" s="166">
        <f t="shared" si="3"/>
        <v>13.620990000000001</v>
      </c>
      <c r="Q64" s="16">
        <v>0</v>
      </c>
      <c r="R64" s="106">
        <v>0</v>
      </c>
      <c r="S64" s="110">
        <v>9.2046250000000001</v>
      </c>
      <c r="T64" s="103">
        <v>4.2967000000000004</v>
      </c>
      <c r="U64" s="103">
        <v>0</v>
      </c>
      <c r="V64" s="104">
        <v>0.1197</v>
      </c>
      <c r="W64" s="29">
        <f t="shared" si="4"/>
        <v>-3.5000000000451337E-5</v>
      </c>
    </row>
    <row r="65" spans="1:23" x14ac:dyDescent="0.3">
      <c r="A65" s="49">
        <v>5537</v>
      </c>
      <c r="B65" s="49" t="s">
        <v>40</v>
      </c>
      <c r="C65" s="49" t="s">
        <v>6</v>
      </c>
      <c r="D65" s="94">
        <v>9.4862140000000004</v>
      </c>
      <c r="E65" s="356" t="s">
        <v>214</v>
      </c>
      <c r="F65" s="310">
        <v>9.4862140000000004</v>
      </c>
      <c r="G65" s="304"/>
      <c r="H65" s="310"/>
      <c r="I65" s="308"/>
      <c r="J65" s="322"/>
      <c r="K65" s="177">
        <v>0</v>
      </c>
      <c r="L65" s="254">
        <v>0</v>
      </c>
      <c r="M65" s="129"/>
      <c r="N65" s="76"/>
      <c r="O65" s="194"/>
      <c r="P65" s="166">
        <f t="shared" si="3"/>
        <v>9.4862140000000004</v>
      </c>
      <c r="Q65" s="16">
        <v>0</v>
      </c>
      <c r="R65" s="8">
        <v>3.2329340000000002</v>
      </c>
      <c r="S65" s="110">
        <v>0</v>
      </c>
      <c r="T65" s="103">
        <v>0</v>
      </c>
      <c r="U65" s="103">
        <v>0</v>
      </c>
      <c r="V65" s="104">
        <v>0</v>
      </c>
      <c r="W65" s="357">
        <f t="shared" si="4"/>
        <v>9.4862140000000004</v>
      </c>
    </row>
    <row r="66" spans="1:23" x14ac:dyDescent="0.3">
      <c r="A66" s="49">
        <v>5538</v>
      </c>
      <c r="B66" s="49" t="s">
        <v>40</v>
      </c>
      <c r="C66" s="49" t="s">
        <v>6</v>
      </c>
      <c r="D66" s="94">
        <v>5.7866819999999999</v>
      </c>
      <c r="E66" s="367" t="s">
        <v>214</v>
      </c>
      <c r="F66" s="311">
        <v>5.7866819999999999</v>
      </c>
      <c r="G66" s="88"/>
      <c r="H66" s="318"/>
      <c r="I66" s="87"/>
      <c r="J66" s="321"/>
      <c r="K66" s="140">
        <v>0</v>
      </c>
      <c r="L66" s="63">
        <v>0</v>
      </c>
      <c r="M66" s="129"/>
      <c r="N66" s="76"/>
      <c r="O66" s="194"/>
      <c r="P66" s="166">
        <f t="shared" si="3"/>
        <v>5.7866819999999999</v>
      </c>
      <c r="Q66" s="165">
        <v>0</v>
      </c>
      <c r="R66" s="8">
        <v>1.2834319999999999</v>
      </c>
      <c r="S66" s="13">
        <v>0</v>
      </c>
      <c r="T66" s="103">
        <v>0</v>
      </c>
      <c r="U66" s="103">
        <v>0</v>
      </c>
      <c r="V66" s="104">
        <v>0</v>
      </c>
      <c r="W66" s="357">
        <f t="shared" si="4"/>
        <v>5.7866819999999999</v>
      </c>
    </row>
    <row r="67" spans="1:23" x14ac:dyDescent="0.3">
      <c r="A67" s="49">
        <v>5540</v>
      </c>
      <c r="B67" s="49" t="s">
        <v>40</v>
      </c>
      <c r="C67" s="49" t="s">
        <v>6</v>
      </c>
      <c r="D67" s="94">
        <v>23.13278</v>
      </c>
      <c r="E67" s="365" t="s">
        <v>209</v>
      </c>
      <c r="F67" s="311">
        <v>22.722394999999999</v>
      </c>
      <c r="G67" s="88"/>
      <c r="H67" s="318"/>
      <c r="I67" s="87"/>
      <c r="J67" s="321"/>
      <c r="K67" s="140">
        <v>6.5977840000000008</v>
      </c>
      <c r="L67" s="63">
        <v>0</v>
      </c>
      <c r="M67" s="124"/>
      <c r="N67" s="74"/>
      <c r="O67" s="194">
        <v>0.410381</v>
      </c>
      <c r="P67" s="166">
        <f t="shared" si="3"/>
        <v>22.722398999999999</v>
      </c>
      <c r="Q67" s="16">
        <v>0.410381</v>
      </c>
      <c r="R67" s="8">
        <v>0</v>
      </c>
      <c r="S67" s="13">
        <v>13.172829</v>
      </c>
      <c r="T67" s="103">
        <v>1.2876000000000001</v>
      </c>
      <c r="U67" s="103">
        <v>0</v>
      </c>
      <c r="V67" s="104">
        <v>0</v>
      </c>
      <c r="W67" s="353">
        <f t="shared" si="4"/>
        <v>8.6723510000000008</v>
      </c>
    </row>
    <row r="68" spans="1:23" x14ac:dyDescent="0.3">
      <c r="A68" s="49">
        <v>5542</v>
      </c>
      <c r="B68" s="49" t="s">
        <v>40</v>
      </c>
      <c r="C68" s="49" t="s">
        <v>6</v>
      </c>
      <c r="D68" s="94">
        <v>23.296420000000001</v>
      </c>
      <c r="E68" s="356" t="s">
        <v>214</v>
      </c>
      <c r="F68" s="310">
        <v>23.296417000000002</v>
      </c>
      <c r="G68" s="88"/>
      <c r="H68" s="318"/>
      <c r="I68" s="87"/>
      <c r="J68" s="321"/>
      <c r="K68" s="177">
        <v>0</v>
      </c>
      <c r="L68" s="63">
        <v>0</v>
      </c>
      <c r="M68" s="124"/>
      <c r="N68" s="74"/>
      <c r="O68" s="194"/>
      <c r="P68" s="166">
        <f t="shared" si="3"/>
        <v>23.296420000000001</v>
      </c>
      <c r="Q68" s="16">
        <v>0</v>
      </c>
      <c r="R68" s="106">
        <v>0</v>
      </c>
      <c r="S68" s="110">
        <v>0</v>
      </c>
      <c r="T68" s="103">
        <v>0</v>
      </c>
      <c r="U68" s="103">
        <v>0</v>
      </c>
      <c r="V68" s="104">
        <v>0</v>
      </c>
      <c r="W68" s="357">
        <f t="shared" si="4"/>
        <v>23.296420000000001</v>
      </c>
    </row>
    <row r="69" spans="1:23" x14ac:dyDescent="0.3">
      <c r="A69" s="49">
        <v>5544</v>
      </c>
      <c r="B69" s="49" t="s">
        <v>40</v>
      </c>
      <c r="C69" s="49" t="s">
        <v>6</v>
      </c>
      <c r="D69" s="94">
        <v>19.524190000000001</v>
      </c>
      <c r="E69" s="356" t="s">
        <v>214</v>
      </c>
      <c r="F69" s="310">
        <v>19.524194000000001</v>
      </c>
      <c r="G69" s="88"/>
      <c r="H69" s="318"/>
      <c r="I69" s="87"/>
      <c r="J69" s="321"/>
      <c r="K69" s="140">
        <v>7.5403999999999999E-2</v>
      </c>
      <c r="L69" s="63">
        <v>0</v>
      </c>
      <c r="M69" s="124"/>
      <c r="N69" s="74"/>
      <c r="O69" s="194"/>
      <c r="P69" s="166">
        <f t="shared" si="3"/>
        <v>19.524190000000001</v>
      </c>
      <c r="Q69" s="16">
        <v>0</v>
      </c>
      <c r="R69" s="8">
        <v>0</v>
      </c>
      <c r="S69" s="110">
        <v>0</v>
      </c>
      <c r="T69" s="103">
        <v>0</v>
      </c>
      <c r="U69" s="103">
        <v>0</v>
      </c>
      <c r="V69" s="104">
        <v>0</v>
      </c>
      <c r="W69" s="357">
        <f t="shared" si="4"/>
        <v>19.524190000000001</v>
      </c>
    </row>
    <row r="70" spans="1:23" x14ac:dyDescent="0.3">
      <c r="A70" s="49">
        <v>5546</v>
      </c>
      <c r="B70" s="49" t="s">
        <v>40</v>
      </c>
      <c r="C70" s="49" t="s">
        <v>6</v>
      </c>
      <c r="D70" s="94">
        <v>12.67624</v>
      </c>
      <c r="E70" s="304" t="s">
        <v>209</v>
      </c>
      <c r="F70" s="310">
        <v>12.676237</v>
      </c>
      <c r="G70" s="88"/>
      <c r="H70" s="318"/>
      <c r="I70" s="87"/>
      <c r="J70" s="321"/>
      <c r="K70" s="140">
        <v>0</v>
      </c>
      <c r="L70" s="63">
        <v>0</v>
      </c>
      <c r="M70" s="124"/>
      <c r="N70" s="74"/>
      <c r="O70" s="194"/>
      <c r="P70" s="166">
        <f t="shared" si="3"/>
        <v>12.67624</v>
      </c>
      <c r="Q70" s="16">
        <v>0</v>
      </c>
      <c r="R70" s="8">
        <v>0</v>
      </c>
      <c r="S70" s="110">
        <v>7.1034090000000001</v>
      </c>
      <c r="T70" s="103">
        <v>0</v>
      </c>
      <c r="U70" s="103">
        <v>4.77536</v>
      </c>
      <c r="V70" s="104">
        <v>0</v>
      </c>
      <c r="W70" s="29">
        <f t="shared" si="4"/>
        <v>0.79747099999999982</v>
      </c>
    </row>
    <row r="71" spans="1:23" x14ac:dyDescent="0.3">
      <c r="A71" s="49">
        <v>5548</v>
      </c>
      <c r="B71" s="49" t="s">
        <v>40</v>
      </c>
      <c r="C71" s="49" t="s">
        <v>6</v>
      </c>
      <c r="D71" s="94">
        <v>9.471679</v>
      </c>
      <c r="E71" s="356" t="s">
        <v>214</v>
      </c>
      <c r="F71" s="310">
        <v>9.471679</v>
      </c>
      <c r="G71" s="88"/>
      <c r="H71" s="318"/>
      <c r="I71" s="87"/>
      <c r="J71" s="321"/>
      <c r="K71" s="140">
        <v>4.9677990000000003</v>
      </c>
      <c r="L71" s="63">
        <v>0</v>
      </c>
      <c r="M71" s="124"/>
      <c r="N71" s="74"/>
      <c r="O71" s="194"/>
      <c r="P71" s="166">
        <f t="shared" si="3"/>
        <v>9.471679</v>
      </c>
      <c r="Q71" s="16">
        <v>0</v>
      </c>
      <c r="R71" s="8">
        <v>0</v>
      </c>
      <c r="S71" s="13">
        <v>0</v>
      </c>
      <c r="T71" s="103">
        <v>0</v>
      </c>
      <c r="U71" s="103">
        <v>0</v>
      </c>
      <c r="V71" s="104">
        <v>0</v>
      </c>
      <c r="W71" s="357">
        <f t="shared" si="4"/>
        <v>9.471679</v>
      </c>
    </row>
    <row r="72" spans="1:23" ht="24.6" x14ac:dyDescent="0.3">
      <c r="A72" s="49">
        <v>5550</v>
      </c>
      <c r="B72" s="49" t="s">
        <v>40</v>
      </c>
      <c r="C72" s="49" t="s">
        <v>6</v>
      </c>
      <c r="D72" s="94">
        <v>30.62002</v>
      </c>
      <c r="E72" s="304" t="s">
        <v>207</v>
      </c>
      <c r="F72" s="310">
        <v>0.42861199999999999</v>
      </c>
      <c r="G72" s="88"/>
      <c r="H72" s="318"/>
      <c r="I72" s="87"/>
      <c r="J72" s="321"/>
      <c r="K72" s="140">
        <v>0</v>
      </c>
      <c r="L72" s="63">
        <v>0</v>
      </c>
      <c r="M72" s="129" t="s">
        <v>38</v>
      </c>
      <c r="N72" s="74">
        <v>30.62002</v>
      </c>
      <c r="O72" s="194"/>
      <c r="P72" s="166">
        <f t="shared" si="3"/>
        <v>0</v>
      </c>
      <c r="Q72" s="165">
        <v>30.62002</v>
      </c>
      <c r="R72" s="8">
        <v>0</v>
      </c>
      <c r="S72" s="13">
        <v>0</v>
      </c>
      <c r="T72" s="103">
        <v>0</v>
      </c>
      <c r="U72" s="103">
        <v>12.340400000000001</v>
      </c>
      <c r="V72" s="104">
        <v>0</v>
      </c>
      <c r="W72" s="29">
        <f t="shared" si="4"/>
        <v>18.279620000000001</v>
      </c>
    </row>
    <row r="73" spans="1:23" x14ac:dyDescent="0.3">
      <c r="A73" s="49">
        <v>5555</v>
      </c>
      <c r="B73" s="49" t="s">
        <v>40</v>
      </c>
      <c r="C73" s="49" t="s">
        <v>6</v>
      </c>
      <c r="D73" s="94">
        <v>15.581490000000001</v>
      </c>
      <c r="E73" s="305" t="s">
        <v>209</v>
      </c>
      <c r="F73" s="311">
        <v>15.152875</v>
      </c>
      <c r="G73" s="88"/>
      <c r="H73" s="318"/>
      <c r="I73" s="87"/>
      <c r="J73" s="321"/>
      <c r="K73" s="140">
        <v>0.27019599999999999</v>
      </c>
      <c r="L73" s="63">
        <v>2.5799270000000001</v>
      </c>
      <c r="M73" s="124"/>
      <c r="N73" s="74"/>
      <c r="O73" s="194"/>
      <c r="P73" s="166">
        <f t="shared" si="3"/>
        <v>5.7385330000000003</v>
      </c>
      <c r="Q73" s="16">
        <v>9.8429570000000002</v>
      </c>
      <c r="R73" s="8">
        <v>3.145238</v>
      </c>
      <c r="S73" s="110">
        <v>0</v>
      </c>
      <c r="T73" s="103">
        <v>0</v>
      </c>
      <c r="U73" s="103">
        <v>13.3306</v>
      </c>
      <c r="V73" s="104">
        <v>0</v>
      </c>
      <c r="W73" s="29">
        <f t="shared" si="4"/>
        <v>2.2508900000000001</v>
      </c>
    </row>
    <row r="74" spans="1:23" x14ac:dyDescent="0.3">
      <c r="A74" s="49">
        <v>5637</v>
      </c>
      <c r="B74" s="49" t="s">
        <v>40</v>
      </c>
      <c r="C74" s="49" t="s">
        <v>5</v>
      </c>
      <c r="D74" s="94">
        <v>8.9960249999999995</v>
      </c>
      <c r="E74" s="356" t="s">
        <v>214</v>
      </c>
      <c r="F74" s="310">
        <v>8.9960249999999995</v>
      </c>
      <c r="G74" s="88"/>
      <c r="H74" s="318"/>
      <c r="I74" s="87"/>
      <c r="J74" s="321"/>
      <c r="K74" s="140">
        <v>0</v>
      </c>
      <c r="L74" s="63">
        <v>0</v>
      </c>
      <c r="M74" s="129"/>
      <c r="N74" s="76"/>
      <c r="O74" s="194"/>
      <c r="P74" s="166">
        <f t="shared" si="3"/>
        <v>8.9960249999999995</v>
      </c>
      <c r="Q74" s="165">
        <v>0</v>
      </c>
      <c r="R74" s="8">
        <v>4.4582360000000003</v>
      </c>
      <c r="S74" s="13">
        <v>0</v>
      </c>
      <c r="T74" s="103">
        <v>0</v>
      </c>
      <c r="U74" s="103">
        <v>0</v>
      </c>
      <c r="V74" s="104">
        <v>0</v>
      </c>
      <c r="W74" s="357">
        <f t="shared" si="4"/>
        <v>8.9960249999999995</v>
      </c>
    </row>
    <row r="75" spans="1:23" x14ac:dyDescent="0.3">
      <c r="A75" s="49">
        <v>5641</v>
      </c>
      <c r="B75" s="49" t="s">
        <v>40</v>
      </c>
      <c r="C75" s="49" t="s">
        <v>4</v>
      </c>
      <c r="D75" s="94">
        <v>6.6468230000000004</v>
      </c>
      <c r="E75" s="367" t="s">
        <v>214</v>
      </c>
      <c r="F75" s="311">
        <v>6.6468230000000004</v>
      </c>
      <c r="G75" s="304"/>
      <c r="H75" s="310"/>
      <c r="I75" s="308"/>
      <c r="J75" s="322"/>
      <c r="K75" s="140">
        <v>0</v>
      </c>
      <c r="L75" s="254">
        <v>6.6468230000000004</v>
      </c>
      <c r="M75" s="129"/>
      <c r="N75" s="76"/>
      <c r="O75" s="194"/>
      <c r="P75" s="166">
        <f t="shared" si="3"/>
        <v>6.6468230000000004</v>
      </c>
      <c r="Q75" s="165">
        <v>0</v>
      </c>
      <c r="R75" s="8">
        <v>6.6468230000000004</v>
      </c>
      <c r="S75" s="110">
        <v>0</v>
      </c>
      <c r="T75" s="103">
        <v>0</v>
      </c>
      <c r="U75" s="103">
        <v>0</v>
      </c>
      <c r="V75" s="104">
        <v>0</v>
      </c>
      <c r="W75" s="357">
        <f t="shared" si="4"/>
        <v>6.6468230000000004</v>
      </c>
    </row>
    <row r="76" spans="1:23" ht="24.6" x14ac:dyDescent="0.3">
      <c r="A76" s="49">
        <v>5642</v>
      </c>
      <c r="B76" s="49" t="s">
        <v>40</v>
      </c>
      <c r="C76" s="49" t="s">
        <v>4</v>
      </c>
      <c r="D76" s="94">
        <v>17.332699999999999</v>
      </c>
      <c r="E76" s="305" t="s">
        <v>206</v>
      </c>
      <c r="F76" s="311">
        <v>10.878838999999999</v>
      </c>
      <c r="G76" s="305" t="s">
        <v>208</v>
      </c>
      <c r="H76" s="311">
        <v>2.4678059999999999</v>
      </c>
      <c r="I76" s="308"/>
      <c r="J76" s="322"/>
      <c r="K76" s="140">
        <v>0</v>
      </c>
      <c r="L76" s="254">
        <v>0</v>
      </c>
      <c r="M76" s="129"/>
      <c r="N76" s="76"/>
      <c r="O76" s="194">
        <v>3.9860500000000001</v>
      </c>
      <c r="P76" s="166">
        <f t="shared" si="3"/>
        <v>13.346651</v>
      </c>
      <c r="Q76" s="16">
        <v>3.986049</v>
      </c>
      <c r="R76" s="8">
        <v>8.0441900000000004</v>
      </c>
      <c r="S76" s="13">
        <v>2.6015160000000002</v>
      </c>
      <c r="T76" s="103">
        <v>8.0434999999999999</v>
      </c>
      <c r="U76" s="103">
        <v>6.68771</v>
      </c>
      <c r="V76" s="104">
        <v>0</v>
      </c>
      <c r="W76" s="29">
        <f t="shared" si="4"/>
        <v>-2.600000000185787E-5</v>
      </c>
    </row>
    <row r="77" spans="1:23" x14ac:dyDescent="0.3">
      <c r="A77" s="49">
        <v>5645</v>
      </c>
      <c r="B77" s="49" t="s">
        <v>40</v>
      </c>
      <c r="C77" s="49" t="s">
        <v>4</v>
      </c>
      <c r="D77" s="94">
        <v>6.6031899999999997</v>
      </c>
      <c r="E77" s="367" t="s">
        <v>214</v>
      </c>
      <c r="F77" s="311">
        <v>6.6031899999999997</v>
      </c>
      <c r="G77" s="304"/>
      <c r="H77" s="310"/>
      <c r="I77" s="308"/>
      <c r="J77" s="322"/>
      <c r="K77" s="177">
        <v>0</v>
      </c>
      <c r="L77" s="254">
        <v>0</v>
      </c>
      <c r="M77" s="129"/>
      <c r="N77" s="76"/>
      <c r="O77" s="194"/>
      <c r="P77" s="166">
        <f t="shared" si="3"/>
        <v>6.6031899999999997</v>
      </c>
      <c r="Q77" s="16">
        <v>0</v>
      </c>
      <c r="R77" s="8">
        <v>5.2552709999999996</v>
      </c>
      <c r="S77" s="110">
        <v>0</v>
      </c>
      <c r="T77" s="103">
        <v>0</v>
      </c>
      <c r="U77" s="103">
        <v>0</v>
      </c>
      <c r="V77" s="104">
        <v>0</v>
      </c>
      <c r="W77" s="357">
        <f t="shared" si="4"/>
        <v>6.6031899999999997</v>
      </c>
    </row>
    <row r="78" spans="1:23" ht="24.6" x14ac:dyDescent="0.3">
      <c r="A78" s="49">
        <v>5646</v>
      </c>
      <c r="B78" s="49" t="s">
        <v>40</v>
      </c>
      <c r="C78" s="49" t="s">
        <v>4</v>
      </c>
      <c r="D78" s="94">
        <v>10.340159999999999</v>
      </c>
      <c r="E78" s="305" t="s">
        <v>206</v>
      </c>
      <c r="F78" s="311">
        <v>10.340157</v>
      </c>
      <c r="G78" s="88"/>
      <c r="H78" s="318"/>
      <c r="I78" s="87"/>
      <c r="J78" s="321"/>
      <c r="K78" s="140">
        <v>0.239734</v>
      </c>
      <c r="L78" s="63">
        <v>0</v>
      </c>
      <c r="M78" s="124"/>
      <c r="N78" s="74"/>
      <c r="O78" s="194"/>
      <c r="P78" s="166">
        <f t="shared" si="3"/>
        <v>10.010902999999999</v>
      </c>
      <c r="Q78" s="16">
        <v>0.32925700000000002</v>
      </c>
      <c r="R78" s="106">
        <v>0</v>
      </c>
      <c r="S78" s="110">
        <v>3.636854</v>
      </c>
      <c r="T78" s="103">
        <v>6.7032999999999996</v>
      </c>
      <c r="U78" s="103">
        <v>0</v>
      </c>
      <c r="V78" s="104">
        <v>0</v>
      </c>
      <c r="W78" s="29">
        <f t="shared" si="4"/>
        <v>5.999999999062311E-6</v>
      </c>
    </row>
    <row r="79" spans="1:23" x14ac:dyDescent="0.3">
      <c r="A79" s="49">
        <v>5647</v>
      </c>
      <c r="B79" s="49" t="s">
        <v>40</v>
      </c>
      <c r="C79" s="49" t="s">
        <v>4</v>
      </c>
      <c r="D79" s="94">
        <v>20.5228</v>
      </c>
      <c r="E79" s="304" t="s">
        <v>209</v>
      </c>
      <c r="F79" s="310">
        <v>20.522796</v>
      </c>
      <c r="G79" s="83"/>
      <c r="H79" s="318"/>
      <c r="I79" s="87"/>
      <c r="J79" s="321"/>
      <c r="K79" s="140">
        <v>0</v>
      </c>
      <c r="L79" s="63">
        <v>0</v>
      </c>
      <c r="M79" s="124"/>
      <c r="N79" s="74"/>
      <c r="O79" s="194"/>
      <c r="P79" s="166">
        <f t="shared" si="3"/>
        <v>20.5228</v>
      </c>
      <c r="Q79" s="165">
        <v>0</v>
      </c>
      <c r="R79" s="8">
        <v>11.35026</v>
      </c>
      <c r="S79" s="110">
        <v>16.417863000000001</v>
      </c>
      <c r="T79" s="103">
        <v>4.1048999999999998</v>
      </c>
      <c r="U79" s="103">
        <v>0</v>
      </c>
      <c r="V79" s="104">
        <v>0</v>
      </c>
      <c r="W79" s="29">
        <f t="shared" si="4"/>
        <v>3.6999999998954536E-5</v>
      </c>
    </row>
    <row r="80" spans="1:23" x14ac:dyDescent="0.3">
      <c r="A80" s="49">
        <v>5648</v>
      </c>
      <c r="B80" s="49" t="s">
        <v>40</v>
      </c>
      <c r="C80" s="49" t="s">
        <v>4</v>
      </c>
      <c r="D80" s="94">
        <v>29.34158</v>
      </c>
      <c r="E80" s="356" t="s">
        <v>214</v>
      </c>
      <c r="F80" s="310">
        <v>29.341577999999998</v>
      </c>
      <c r="G80" s="83"/>
      <c r="H80" s="318"/>
      <c r="I80" s="87"/>
      <c r="J80" s="321"/>
      <c r="K80" s="140">
        <v>0</v>
      </c>
      <c r="L80" s="63">
        <v>0</v>
      </c>
      <c r="M80" s="124"/>
      <c r="N80" s="74"/>
      <c r="O80" s="194"/>
      <c r="P80" s="166">
        <f t="shared" si="3"/>
        <v>29.34158</v>
      </c>
      <c r="Q80" s="165">
        <v>0</v>
      </c>
      <c r="R80" s="8">
        <v>2.9186009999999998</v>
      </c>
      <c r="S80" s="110">
        <v>0</v>
      </c>
      <c r="T80" s="103">
        <v>0</v>
      </c>
      <c r="U80" s="103">
        <v>0</v>
      </c>
      <c r="V80" s="104">
        <v>0</v>
      </c>
      <c r="W80" s="357">
        <f t="shared" si="4"/>
        <v>29.34158</v>
      </c>
    </row>
    <row r="81" spans="1:24" ht="24.6" x14ac:dyDescent="0.3">
      <c r="A81" s="49">
        <v>5649</v>
      </c>
      <c r="B81" s="49" t="s">
        <v>40</v>
      </c>
      <c r="C81" s="49" t="s">
        <v>4</v>
      </c>
      <c r="D81" s="94">
        <v>21.090389999999999</v>
      </c>
      <c r="E81" s="304" t="s">
        <v>208</v>
      </c>
      <c r="F81" s="310">
        <v>21.090391</v>
      </c>
      <c r="G81" s="305"/>
      <c r="H81" s="311"/>
      <c r="I81" s="87"/>
      <c r="J81" s="321"/>
      <c r="K81" s="140">
        <v>0</v>
      </c>
      <c r="L81" s="63">
        <v>0</v>
      </c>
      <c r="M81" s="124"/>
      <c r="N81" s="74"/>
      <c r="O81" s="194"/>
      <c r="P81" s="166">
        <f t="shared" si="3"/>
        <v>21.090389999999999</v>
      </c>
      <c r="Q81" s="165">
        <v>0</v>
      </c>
      <c r="R81" s="8">
        <v>0</v>
      </c>
      <c r="S81" s="110">
        <v>17.124858</v>
      </c>
      <c r="T81" s="103">
        <v>0</v>
      </c>
      <c r="U81" s="103">
        <v>3.95851</v>
      </c>
      <c r="V81" s="104">
        <v>0</v>
      </c>
      <c r="W81" s="29">
        <f t="shared" si="4"/>
        <v>7.0219999999991956E-3</v>
      </c>
    </row>
    <row r="82" spans="1:24" x14ac:dyDescent="0.3">
      <c r="A82" s="49">
        <v>5650</v>
      </c>
      <c r="B82" s="49" t="s">
        <v>40</v>
      </c>
      <c r="C82" s="49" t="s">
        <v>4</v>
      </c>
      <c r="D82" s="94">
        <v>43.561669999999999</v>
      </c>
      <c r="E82" s="305" t="s">
        <v>209</v>
      </c>
      <c r="F82" s="311">
        <v>43.561666000000002</v>
      </c>
      <c r="G82" s="304"/>
      <c r="H82" s="310"/>
      <c r="I82" s="308"/>
      <c r="J82" s="322"/>
      <c r="K82" s="140">
        <v>1.8291390000000001</v>
      </c>
      <c r="L82" s="254">
        <v>0</v>
      </c>
      <c r="M82" s="124"/>
      <c r="N82" s="74"/>
      <c r="O82" s="194"/>
      <c r="P82" s="166">
        <f t="shared" si="3"/>
        <v>42.867424</v>
      </c>
      <c r="Q82" s="165">
        <v>0.69424600000000003</v>
      </c>
      <c r="R82" s="8">
        <v>0</v>
      </c>
      <c r="S82" s="110">
        <v>0</v>
      </c>
      <c r="T82" s="103">
        <v>35.985999999999997</v>
      </c>
      <c r="U82" s="103">
        <v>0</v>
      </c>
      <c r="V82" s="104">
        <v>0</v>
      </c>
      <c r="W82" s="29">
        <f t="shared" si="4"/>
        <v>7.5756700000000023</v>
      </c>
    </row>
    <row r="83" spans="1:24" x14ac:dyDescent="0.3">
      <c r="A83" s="49">
        <v>5651</v>
      </c>
      <c r="B83" s="49" t="s">
        <v>40</v>
      </c>
      <c r="C83" s="49" t="s">
        <v>4</v>
      </c>
      <c r="D83" s="94">
        <v>39.901809999999998</v>
      </c>
      <c r="E83" s="367" t="s">
        <v>214</v>
      </c>
      <c r="F83" s="310">
        <v>39.901808000000003</v>
      </c>
      <c r="G83" s="83"/>
      <c r="H83" s="318"/>
      <c r="I83" s="87"/>
      <c r="J83" s="321"/>
      <c r="K83" s="140">
        <v>7.1236809999999995</v>
      </c>
      <c r="L83" s="63">
        <v>0</v>
      </c>
      <c r="M83" s="129"/>
      <c r="N83" s="76"/>
      <c r="O83" s="194"/>
      <c r="P83" s="166">
        <f t="shared" si="3"/>
        <v>39.901809999999998</v>
      </c>
      <c r="Q83" s="16">
        <v>0</v>
      </c>
      <c r="R83" s="8">
        <v>0</v>
      </c>
      <c r="S83" s="110">
        <v>0</v>
      </c>
      <c r="T83" s="103">
        <v>0</v>
      </c>
      <c r="U83" s="103">
        <v>0</v>
      </c>
      <c r="V83" s="104">
        <v>0</v>
      </c>
      <c r="W83" s="357">
        <f t="shared" si="4"/>
        <v>39.901809999999998</v>
      </c>
    </row>
    <row r="84" spans="1:24" ht="24.6" x14ac:dyDescent="0.3">
      <c r="A84" s="49">
        <v>5653</v>
      </c>
      <c r="B84" s="49" t="s">
        <v>40</v>
      </c>
      <c r="C84" s="49" t="s">
        <v>4</v>
      </c>
      <c r="D84" s="94">
        <v>9.563542</v>
      </c>
      <c r="E84" s="305" t="s">
        <v>206</v>
      </c>
      <c r="F84" s="311">
        <v>9.563542</v>
      </c>
      <c r="G84" s="83"/>
      <c r="H84" s="318"/>
      <c r="I84" s="87"/>
      <c r="J84" s="321"/>
      <c r="K84" s="140">
        <v>0</v>
      </c>
      <c r="L84" s="63">
        <v>0</v>
      </c>
      <c r="M84" s="124"/>
      <c r="N84" s="74"/>
      <c r="O84" s="194"/>
      <c r="P84" s="166">
        <f t="shared" si="3"/>
        <v>9.563542</v>
      </c>
      <c r="Q84" s="165">
        <v>0</v>
      </c>
      <c r="R84" s="8">
        <v>2.2410559999999999</v>
      </c>
      <c r="S84" s="110">
        <v>9.0190999999999993E-2</v>
      </c>
      <c r="T84" s="103">
        <v>8.7391000000000005</v>
      </c>
      <c r="U84" s="103">
        <v>1.447E-2</v>
      </c>
      <c r="V84" s="104">
        <v>0</v>
      </c>
      <c r="W84" s="29">
        <f t="shared" si="4"/>
        <v>0.71978099999999934</v>
      </c>
    </row>
    <row r="85" spans="1:24" x14ac:dyDescent="0.3">
      <c r="A85" s="49">
        <v>5655</v>
      </c>
      <c r="B85" s="49" t="s">
        <v>40</v>
      </c>
      <c r="C85" s="49" t="s">
        <v>4</v>
      </c>
      <c r="D85" s="94">
        <v>11.68988</v>
      </c>
      <c r="E85" s="305" t="s">
        <v>209</v>
      </c>
      <c r="F85" s="310">
        <v>11.689882000000001</v>
      </c>
      <c r="G85" s="83"/>
      <c r="H85" s="318"/>
      <c r="I85" s="87"/>
      <c r="J85" s="321"/>
      <c r="K85" s="140">
        <v>1.4714430000000001</v>
      </c>
      <c r="L85" s="63">
        <v>2.297091</v>
      </c>
      <c r="M85" s="129"/>
      <c r="N85" s="76"/>
      <c r="O85" s="194"/>
      <c r="P85" s="166">
        <f t="shared" si="3"/>
        <v>11.68988</v>
      </c>
      <c r="Q85" s="16">
        <v>0</v>
      </c>
      <c r="R85" s="8">
        <v>0</v>
      </c>
      <c r="S85" s="110">
        <v>9.9704000000000001E-2</v>
      </c>
      <c r="T85" s="103">
        <v>4.0862999999999996</v>
      </c>
      <c r="U85" s="103">
        <v>6.0324</v>
      </c>
      <c r="V85" s="104">
        <v>1.4714400000000001</v>
      </c>
      <c r="W85" s="29">
        <f t="shared" si="4"/>
        <v>3.6000000001479293E-5</v>
      </c>
    </row>
    <row r="86" spans="1:24" x14ac:dyDescent="0.3">
      <c r="A86" s="68" t="s">
        <v>67</v>
      </c>
      <c r="B86" s="68" t="s">
        <v>40</v>
      </c>
      <c r="C86" s="68"/>
      <c r="D86" s="93">
        <f>SUM(D27:D85)</f>
        <v>1100.6399629999999</v>
      </c>
      <c r="E86" s="93"/>
      <c r="F86" s="93">
        <f>SUM(F27:F85)</f>
        <v>871.33032000000014</v>
      </c>
      <c r="G86" s="93"/>
      <c r="H86" s="93">
        <f>SUM(H27:H85)</f>
        <v>12.411750999999999</v>
      </c>
      <c r="I86" s="93"/>
      <c r="J86" s="93">
        <f>SUM(J27:J85)</f>
        <v>0</v>
      </c>
      <c r="K86" s="93">
        <f>SUM(K27:K85)</f>
        <v>140.85921100000004</v>
      </c>
      <c r="L86" s="93">
        <f>SUM(L27:L85)</f>
        <v>80.830433999999983</v>
      </c>
      <c r="M86" s="93"/>
      <c r="N86" s="93">
        <f t="shared" ref="N86:W86" si="5">SUM(N27:N85)</f>
        <v>139.37761</v>
      </c>
      <c r="O86" s="93">
        <f t="shared" si="5"/>
        <v>77.520245000000017</v>
      </c>
      <c r="P86" s="93">
        <f t="shared" si="5"/>
        <v>829.08439199999998</v>
      </c>
      <c r="Q86" s="93">
        <f t="shared" si="5"/>
        <v>271.55557099999999</v>
      </c>
      <c r="R86" s="93">
        <f t="shared" si="5"/>
        <v>215.74685199999999</v>
      </c>
      <c r="S86" s="93">
        <f t="shared" si="5"/>
        <v>249.96923399999997</v>
      </c>
      <c r="T86" s="93">
        <f t="shared" si="5"/>
        <v>172.98681000000002</v>
      </c>
      <c r="U86" s="93">
        <f t="shared" si="5"/>
        <v>133.20348000000001</v>
      </c>
      <c r="V86" s="93">
        <f t="shared" si="5"/>
        <v>10.793089999999999</v>
      </c>
      <c r="W86" s="93">
        <f t="shared" si="5"/>
        <v>533.68734899999993</v>
      </c>
      <c r="X86" s="93"/>
    </row>
    <row r="87" spans="1:24" s="32" customFormat="1" x14ac:dyDescent="0.3">
      <c r="A87" s="224"/>
      <c r="B87" s="224"/>
      <c r="C87" s="224"/>
      <c r="D87" s="225"/>
      <c r="E87" s="226"/>
      <c r="F87" s="227"/>
      <c r="G87" s="36"/>
      <c r="H87" s="37"/>
      <c r="I87" s="37"/>
      <c r="J87" s="229"/>
      <c r="K87" s="230"/>
      <c r="L87" s="37"/>
      <c r="M87" s="237"/>
      <c r="N87" s="238"/>
      <c r="O87" s="238"/>
      <c r="P87" s="29"/>
      <c r="Q87" s="162"/>
      <c r="R87" s="239"/>
      <c r="S87" s="381"/>
      <c r="T87" s="382"/>
      <c r="U87" s="382"/>
      <c r="V87" s="97"/>
      <c r="W87" s="262"/>
      <c r="X87" s="256"/>
    </row>
    <row r="88" spans="1:24" s="32" customFormat="1" x14ac:dyDescent="0.3">
      <c r="A88" s="260"/>
      <c r="B88" s="112"/>
      <c r="C88" s="112"/>
      <c r="D88" s="258"/>
      <c r="E88" s="257"/>
      <c r="F88" s="39"/>
      <c r="G88" s="36"/>
      <c r="H88" s="37"/>
      <c r="I88" s="37"/>
      <c r="J88" s="229"/>
      <c r="K88" s="230"/>
      <c r="L88" s="37"/>
      <c r="M88" s="237"/>
      <c r="N88" s="238"/>
      <c r="O88" s="238"/>
      <c r="P88" s="29"/>
      <c r="Q88" s="233"/>
      <c r="R88" s="239"/>
      <c r="S88" s="58"/>
      <c r="T88" s="58"/>
      <c r="U88" s="58"/>
      <c r="V88" s="186"/>
      <c r="W88" s="58"/>
      <c r="X88" s="155"/>
    </row>
    <row r="89" spans="1:24" x14ac:dyDescent="0.3">
      <c r="A89" s="49"/>
      <c r="B89" s="49"/>
      <c r="C89" s="259"/>
      <c r="D89" s="94"/>
      <c r="E89" s="89"/>
      <c r="F89" s="84"/>
      <c r="G89" s="89"/>
      <c r="H89" s="84"/>
      <c r="I89" s="84"/>
      <c r="J89" s="119"/>
      <c r="K89" s="140"/>
      <c r="L89" s="131"/>
      <c r="M89" s="124"/>
      <c r="N89" s="74"/>
      <c r="O89" s="194"/>
      <c r="P89" s="6"/>
      <c r="Q89" s="165"/>
      <c r="R89" s="106"/>
      <c r="S89" s="110"/>
      <c r="T89" s="103"/>
      <c r="U89" s="103"/>
      <c r="V89" s="104"/>
      <c r="W89" s="29"/>
    </row>
    <row r="90" spans="1:24" x14ac:dyDescent="0.3">
      <c r="A90" s="49"/>
      <c r="B90" s="49"/>
      <c r="C90" s="259"/>
      <c r="D90" s="94"/>
      <c r="E90" s="89"/>
      <c r="F90" s="84"/>
      <c r="G90" s="83"/>
      <c r="H90" s="87"/>
      <c r="I90" s="87"/>
      <c r="J90" s="123"/>
      <c r="K90" s="140"/>
      <c r="L90" s="130"/>
      <c r="M90" s="124"/>
      <c r="N90" s="74"/>
      <c r="O90" s="194"/>
      <c r="P90" s="6"/>
      <c r="Q90" s="16"/>
      <c r="R90" s="9"/>
      <c r="S90" s="13"/>
      <c r="T90" s="103"/>
      <c r="U90" s="103"/>
      <c r="V90" s="104"/>
      <c r="W90" s="29"/>
    </row>
    <row r="91" spans="1:24" x14ac:dyDescent="0.3">
      <c r="A91" s="49"/>
      <c r="B91" s="49"/>
      <c r="C91" s="259"/>
      <c r="D91" s="94"/>
      <c r="E91" s="89"/>
      <c r="F91" s="84"/>
      <c r="G91" s="85"/>
      <c r="H91" s="86"/>
      <c r="I91" s="87"/>
      <c r="J91" s="123"/>
      <c r="K91" s="140"/>
      <c r="L91" s="130"/>
      <c r="M91" s="129"/>
      <c r="N91" s="76"/>
      <c r="O91" s="194"/>
      <c r="P91" s="6"/>
      <c r="Q91" s="16"/>
      <c r="R91" s="8"/>
      <c r="S91" s="110"/>
      <c r="T91" s="103"/>
      <c r="U91" s="103"/>
      <c r="V91" s="104"/>
      <c r="W91" s="29"/>
    </row>
    <row r="92" spans="1:24" x14ac:dyDescent="0.3">
      <c r="A92" s="49"/>
      <c r="B92" s="49"/>
      <c r="C92" s="259"/>
      <c r="D92" s="94"/>
      <c r="E92" s="85"/>
      <c r="F92" s="86"/>
      <c r="G92" s="89"/>
      <c r="H92" s="84"/>
      <c r="I92" s="87"/>
      <c r="J92" s="123"/>
      <c r="K92" s="140"/>
      <c r="L92" s="130"/>
      <c r="M92" s="128"/>
      <c r="N92" s="75"/>
      <c r="O92" s="152"/>
      <c r="P92" s="6"/>
      <c r="Q92" s="165"/>
      <c r="R92" s="9"/>
      <c r="S92" s="110"/>
      <c r="T92" s="103"/>
      <c r="U92" s="103"/>
      <c r="V92" s="104"/>
      <c r="W92" s="29"/>
    </row>
    <row r="93" spans="1:24" x14ac:dyDescent="0.3">
      <c r="A93" s="49"/>
      <c r="B93" s="49"/>
      <c r="C93" s="259"/>
      <c r="D93" s="94"/>
      <c r="E93" s="85"/>
      <c r="F93" s="86"/>
      <c r="G93" s="88"/>
      <c r="H93" s="87"/>
      <c r="I93" s="87"/>
      <c r="J93" s="123"/>
      <c r="K93" s="140"/>
      <c r="L93" s="130"/>
      <c r="M93" s="128"/>
      <c r="N93" s="75"/>
      <c r="O93" s="152"/>
      <c r="P93" s="6"/>
      <c r="Q93" s="16"/>
      <c r="R93" s="106"/>
      <c r="S93" s="13"/>
      <c r="T93" s="103"/>
      <c r="U93" s="103"/>
      <c r="V93" s="104"/>
      <c r="W93" s="29"/>
    </row>
    <row r="94" spans="1:24" x14ac:dyDescent="0.3">
      <c r="A94" s="49"/>
      <c r="B94" s="49"/>
      <c r="C94" s="259"/>
      <c r="D94" s="94"/>
      <c r="E94" s="85"/>
      <c r="F94" s="86"/>
      <c r="G94" s="89"/>
      <c r="H94" s="84"/>
      <c r="I94" s="87"/>
      <c r="J94" s="123"/>
      <c r="K94" s="140"/>
      <c r="L94" s="130"/>
      <c r="M94" s="128"/>
      <c r="N94" s="75"/>
      <c r="O94" s="152"/>
      <c r="P94" s="6"/>
      <c r="Q94" s="16"/>
      <c r="R94" s="9"/>
      <c r="S94" s="13"/>
      <c r="T94" s="103"/>
      <c r="U94" s="103"/>
      <c r="V94" s="104"/>
      <c r="W94" s="29"/>
    </row>
    <row r="95" spans="1:24" x14ac:dyDescent="0.3">
      <c r="A95" s="49"/>
      <c r="B95" s="49"/>
      <c r="C95" s="259"/>
      <c r="D95" s="94"/>
      <c r="E95" s="85"/>
      <c r="F95" s="86"/>
      <c r="G95" s="88"/>
      <c r="H95" s="87"/>
      <c r="I95" s="87"/>
      <c r="J95" s="123"/>
      <c r="K95" s="140"/>
      <c r="L95" s="130"/>
      <c r="M95" s="128"/>
      <c r="N95" s="75"/>
      <c r="O95" s="152"/>
      <c r="P95" s="6"/>
      <c r="Q95" s="16"/>
      <c r="R95" s="8"/>
      <c r="S95" s="13"/>
      <c r="T95" s="103"/>
      <c r="U95" s="103"/>
      <c r="V95" s="104"/>
      <c r="W95" s="29"/>
    </row>
    <row r="96" spans="1:24" x14ac:dyDescent="0.3">
      <c r="A96" s="49"/>
      <c r="B96" s="49"/>
      <c r="C96" s="259"/>
      <c r="D96" s="94"/>
      <c r="E96" s="85"/>
      <c r="F96" s="86"/>
      <c r="G96" s="89"/>
      <c r="H96" s="84"/>
      <c r="I96" s="87"/>
      <c r="J96" s="123"/>
      <c r="K96" s="140"/>
      <c r="L96" s="130"/>
      <c r="M96" s="128"/>
      <c r="N96" s="75"/>
      <c r="O96" s="152"/>
      <c r="P96" s="6"/>
      <c r="Q96" s="16"/>
      <c r="R96" s="8"/>
      <c r="S96" s="13"/>
      <c r="T96" s="103"/>
      <c r="U96" s="103"/>
      <c r="V96" s="104"/>
      <c r="W96" s="29"/>
    </row>
    <row r="97" spans="1:24" x14ac:dyDescent="0.3">
      <c r="A97" s="68"/>
      <c r="B97" s="68"/>
      <c r="C97" s="68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</row>
    <row r="98" spans="1:24" x14ac:dyDescent="0.3">
      <c r="A98" s="49"/>
      <c r="B98" s="49"/>
      <c r="C98" s="49"/>
      <c r="D98" s="94"/>
      <c r="E98" s="85"/>
      <c r="F98" s="86"/>
      <c r="G98" s="88"/>
      <c r="H98" s="87"/>
      <c r="I98" s="87"/>
      <c r="J98" s="123"/>
      <c r="K98" s="140"/>
      <c r="L98" s="130"/>
      <c r="M98" s="128"/>
      <c r="N98" s="75"/>
      <c r="O98" s="152"/>
      <c r="P98" s="6"/>
      <c r="Q98" s="16"/>
      <c r="R98" s="8"/>
      <c r="S98" s="13"/>
      <c r="T98" s="103"/>
      <c r="U98" s="103"/>
      <c r="V98" s="104"/>
      <c r="W98" s="29"/>
    </row>
    <row r="99" spans="1:24" x14ac:dyDescent="0.3">
      <c r="A99" s="49"/>
      <c r="B99" s="49"/>
      <c r="C99" s="49"/>
      <c r="D99" s="94"/>
      <c r="E99" s="85"/>
      <c r="F99" s="86"/>
      <c r="G99" s="85"/>
      <c r="H99" s="86"/>
      <c r="I99" s="87"/>
      <c r="J99" s="123"/>
      <c r="K99" s="140"/>
      <c r="L99" s="130"/>
      <c r="M99" s="128"/>
      <c r="N99" s="75"/>
      <c r="O99" s="152"/>
      <c r="P99" s="6"/>
      <c r="Q99" s="16"/>
      <c r="R99" s="106"/>
      <c r="S99" s="110"/>
      <c r="T99" s="103"/>
      <c r="U99" s="103"/>
      <c r="V99" s="104"/>
      <c r="W99" s="29"/>
    </row>
    <row r="100" spans="1:24" x14ac:dyDescent="0.3">
      <c r="A100" s="49"/>
      <c r="B100" s="49"/>
      <c r="C100" s="49"/>
      <c r="D100" s="94"/>
      <c r="E100" s="85"/>
      <c r="F100" s="86"/>
      <c r="G100" s="83"/>
      <c r="H100" s="87"/>
      <c r="I100" s="87"/>
      <c r="J100" s="123"/>
      <c r="K100" s="140"/>
      <c r="L100" s="130"/>
      <c r="M100" s="128"/>
      <c r="N100" s="75"/>
      <c r="O100" s="152"/>
      <c r="P100" s="6"/>
      <c r="Q100" s="16"/>
      <c r="R100" s="9"/>
      <c r="S100" s="110"/>
      <c r="T100" s="103"/>
      <c r="U100" s="103"/>
      <c r="V100" s="104"/>
      <c r="W100" s="29"/>
    </row>
    <row r="101" spans="1:24" x14ac:dyDescent="0.3">
      <c r="A101" s="49"/>
      <c r="B101" s="49"/>
      <c r="C101" s="49"/>
      <c r="D101" s="94"/>
      <c r="E101" s="85"/>
      <c r="F101" s="86"/>
      <c r="G101" s="83"/>
      <c r="H101" s="87"/>
      <c r="I101" s="87"/>
      <c r="J101" s="123"/>
      <c r="K101" s="140"/>
      <c r="L101" s="130"/>
      <c r="M101" s="128"/>
      <c r="N101" s="75"/>
      <c r="O101" s="152"/>
      <c r="P101" s="6"/>
      <c r="Q101" s="16"/>
      <c r="R101" s="9"/>
      <c r="S101" s="13"/>
      <c r="T101" s="103"/>
      <c r="U101" s="103"/>
      <c r="V101" s="104"/>
      <c r="W101" s="29"/>
    </row>
    <row r="102" spans="1:24" x14ac:dyDescent="0.3">
      <c r="A102" s="49"/>
      <c r="B102" s="49"/>
      <c r="C102" s="49"/>
      <c r="D102" s="94"/>
      <c r="E102" s="85"/>
      <c r="F102" s="86"/>
      <c r="G102" s="89"/>
      <c r="H102" s="84"/>
      <c r="I102" s="84"/>
      <c r="J102" s="119"/>
      <c r="K102" s="140"/>
      <c r="L102" s="131"/>
      <c r="M102" s="128"/>
      <c r="N102" s="75"/>
      <c r="O102" s="152"/>
      <c r="P102" s="6"/>
      <c r="Q102" s="16"/>
      <c r="R102" s="106"/>
      <c r="S102" s="110"/>
      <c r="T102" s="103"/>
      <c r="U102" s="103"/>
      <c r="V102" s="104"/>
      <c r="W102" s="29"/>
    </row>
    <row r="103" spans="1:24" x14ac:dyDescent="0.3">
      <c r="A103" s="49"/>
      <c r="B103" s="49"/>
      <c r="C103" s="49"/>
      <c r="D103" s="94"/>
      <c r="E103" s="85"/>
      <c r="F103" s="86"/>
      <c r="G103" s="85"/>
      <c r="H103" s="86"/>
      <c r="I103" s="87"/>
      <c r="J103" s="123"/>
      <c r="K103" s="140"/>
      <c r="L103" s="130"/>
      <c r="M103" s="128"/>
      <c r="N103" s="75"/>
      <c r="O103" s="152"/>
      <c r="P103" s="6"/>
      <c r="Q103" s="16"/>
      <c r="R103" s="106"/>
      <c r="S103" s="13"/>
      <c r="T103" s="103"/>
      <c r="U103" s="103"/>
      <c r="V103" s="104"/>
      <c r="W103" s="29"/>
    </row>
    <row r="104" spans="1:24" x14ac:dyDescent="0.3">
      <c r="A104" s="49"/>
      <c r="B104" s="49"/>
      <c r="C104" s="49"/>
      <c r="D104" s="94"/>
      <c r="E104" s="85"/>
      <c r="F104" s="86"/>
      <c r="G104" s="85"/>
      <c r="H104" s="86"/>
      <c r="I104" s="85"/>
      <c r="J104" s="125"/>
      <c r="K104" s="140"/>
      <c r="L104" s="132"/>
      <c r="M104" s="129"/>
      <c r="N104" s="76"/>
      <c r="O104" s="194"/>
      <c r="P104" s="6"/>
      <c r="Q104" s="16"/>
      <c r="R104" s="106"/>
      <c r="S104" s="13"/>
      <c r="T104" s="103"/>
      <c r="U104" s="103"/>
      <c r="V104" s="104"/>
      <c r="W104" s="29"/>
    </row>
    <row r="105" spans="1:24" x14ac:dyDescent="0.3">
      <c r="A105" s="49"/>
      <c r="B105" s="49"/>
      <c r="C105" s="49"/>
      <c r="D105" s="94"/>
      <c r="E105" s="85"/>
      <c r="F105" s="86"/>
      <c r="G105" s="85"/>
      <c r="H105" s="86"/>
      <c r="I105" s="87"/>
      <c r="J105" s="123"/>
      <c r="K105" s="140"/>
      <c r="L105" s="130"/>
      <c r="M105" s="129"/>
      <c r="N105" s="76"/>
      <c r="O105" s="144"/>
      <c r="P105" s="6"/>
      <c r="Q105" s="16"/>
      <c r="R105" s="9"/>
      <c r="S105" s="110"/>
      <c r="T105" s="103"/>
      <c r="U105" s="103"/>
      <c r="V105" s="104"/>
      <c r="W105" s="29"/>
    </row>
    <row r="106" spans="1:24" x14ac:dyDescent="0.3">
      <c r="A106" s="49"/>
      <c r="B106" s="49"/>
      <c r="C106" s="49"/>
      <c r="D106" s="94"/>
      <c r="E106" s="85"/>
      <c r="F106" s="86"/>
      <c r="G106" s="88"/>
      <c r="H106" s="87"/>
      <c r="I106" s="87"/>
      <c r="J106" s="123"/>
      <c r="K106" s="140"/>
      <c r="L106" s="130"/>
      <c r="M106" s="129"/>
      <c r="N106" s="76"/>
      <c r="O106" s="144"/>
      <c r="P106" s="6"/>
      <c r="Q106" s="16"/>
      <c r="R106" s="8"/>
      <c r="S106" s="13"/>
      <c r="T106" s="103"/>
      <c r="U106" s="103"/>
      <c r="V106" s="104"/>
      <c r="W106" s="29"/>
    </row>
    <row r="107" spans="1:24" x14ac:dyDescent="0.3">
      <c r="A107" s="49"/>
      <c r="B107" s="49"/>
      <c r="C107" s="49"/>
      <c r="D107" s="94"/>
      <c r="E107" s="85"/>
      <c r="F107" s="86"/>
      <c r="G107" s="88"/>
      <c r="H107" s="87"/>
      <c r="I107" s="87"/>
      <c r="J107" s="123"/>
      <c r="K107" s="140"/>
      <c r="L107" s="130"/>
      <c r="M107" s="129"/>
      <c r="N107" s="76"/>
      <c r="O107" s="144"/>
      <c r="P107" s="6"/>
      <c r="Q107" s="165"/>
      <c r="R107" s="9"/>
      <c r="S107" s="13"/>
      <c r="T107" s="103"/>
      <c r="U107" s="103"/>
      <c r="V107" s="104"/>
      <c r="W107" s="29"/>
    </row>
    <row r="108" spans="1:24" x14ac:dyDescent="0.3">
      <c r="A108" s="49"/>
      <c r="B108" s="49"/>
      <c r="C108" s="49"/>
      <c r="D108" s="94"/>
      <c r="E108" s="85"/>
      <c r="F108" s="86"/>
      <c r="G108" s="88"/>
      <c r="H108" s="87"/>
      <c r="I108" s="87"/>
      <c r="J108" s="123"/>
      <c r="K108" s="140"/>
      <c r="L108" s="130"/>
      <c r="M108" s="129"/>
      <c r="N108" s="76"/>
      <c r="O108" s="144"/>
      <c r="P108" s="6"/>
      <c r="Q108" s="16"/>
      <c r="R108" s="9"/>
      <c r="S108" s="13"/>
      <c r="T108" s="103"/>
      <c r="U108" s="103"/>
      <c r="V108" s="104"/>
      <c r="W108" s="29"/>
    </row>
    <row r="109" spans="1:24" x14ac:dyDescent="0.3">
      <c r="A109" s="49"/>
      <c r="B109" s="49"/>
      <c r="C109" s="49"/>
      <c r="D109" s="94"/>
      <c r="E109" s="85"/>
      <c r="F109" s="86"/>
      <c r="G109" s="88"/>
      <c r="H109" s="87"/>
      <c r="I109" s="87"/>
      <c r="J109" s="123"/>
      <c r="K109" s="140"/>
      <c r="L109" s="130"/>
      <c r="M109" s="129"/>
      <c r="N109" s="76"/>
      <c r="O109" s="144"/>
      <c r="P109" s="6"/>
      <c r="Q109" s="16"/>
      <c r="R109" s="106"/>
      <c r="S109" s="110"/>
      <c r="T109" s="103"/>
      <c r="U109" s="103"/>
      <c r="V109" s="104"/>
      <c r="W109" s="29"/>
    </row>
    <row r="110" spans="1:24" x14ac:dyDescent="0.3">
      <c r="A110" s="49"/>
      <c r="B110" s="49"/>
      <c r="C110" s="49"/>
      <c r="D110" s="94"/>
      <c r="E110" s="85"/>
      <c r="F110" s="86"/>
      <c r="G110" s="88"/>
      <c r="H110" s="87"/>
      <c r="I110" s="87"/>
      <c r="J110" s="123"/>
      <c r="K110" s="140"/>
      <c r="L110" s="130"/>
      <c r="M110" s="129"/>
      <c r="N110" s="76"/>
      <c r="O110" s="144"/>
      <c r="P110" s="6"/>
      <c r="Q110" s="165"/>
      <c r="R110" s="9"/>
      <c r="S110" s="110"/>
      <c r="T110" s="103"/>
      <c r="U110" s="103"/>
      <c r="V110" s="104"/>
      <c r="W110" s="29"/>
    </row>
    <row r="111" spans="1:24" x14ac:dyDescent="0.3">
      <c r="A111" s="49"/>
      <c r="B111" s="49"/>
      <c r="C111" s="49"/>
      <c r="D111" s="94"/>
      <c r="E111" s="85"/>
      <c r="F111" s="86"/>
      <c r="G111" s="88"/>
      <c r="H111" s="87"/>
      <c r="I111" s="87"/>
      <c r="J111" s="123"/>
      <c r="K111" s="140"/>
      <c r="L111" s="130"/>
      <c r="M111" s="124"/>
      <c r="N111" s="74"/>
      <c r="O111" s="194"/>
      <c r="P111" s="6"/>
      <c r="Q111" s="16"/>
      <c r="R111" s="8"/>
      <c r="S111" s="13"/>
      <c r="T111" s="103"/>
      <c r="U111" s="103"/>
      <c r="V111" s="104"/>
      <c r="W111" s="29"/>
    </row>
    <row r="112" spans="1:24" x14ac:dyDescent="0.3">
      <c r="A112" s="49"/>
      <c r="B112" s="49"/>
      <c r="C112" s="49"/>
      <c r="D112" s="94"/>
      <c r="E112" s="85"/>
      <c r="F112" s="86"/>
      <c r="G112" s="89"/>
      <c r="H112" s="84"/>
      <c r="I112" s="89"/>
      <c r="J112" s="119"/>
      <c r="K112" s="140"/>
      <c r="L112" s="131"/>
      <c r="M112" s="129"/>
      <c r="N112" s="76"/>
      <c r="O112" s="144"/>
      <c r="P112" s="6"/>
      <c r="Q112" s="165"/>
      <c r="R112" s="8"/>
      <c r="S112" s="110"/>
      <c r="T112" s="103"/>
      <c r="U112" s="103"/>
      <c r="V112" s="104"/>
      <c r="W112" s="29"/>
    </row>
    <row r="113" spans="1:23" x14ac:dyDescent="0.3">
      <c r="A113" s="49"/>
      <c r="B113" s="49"/>
      <c r="C113" s="49"/>
      <c r="D113" s="94"/>
      <c r="E113" s="85"/>
      <c r="F113" s="86"/>
      <c r="G113" s="88"/>
      <c r="H113" s="87"/>
      <c r="I113" s="87"/>
      <c r="J113" s="123"/>
      <c r="K113" s="140"/>
      <c r="L113" s="130"/>
      <c r="M113" s="129"/>
      <c r="N113" s="76"/>
      <c r="O113" s="144"/>
      <c r="P113" s="6"/>
      <c r="Q113" s="16"/>
      <c r="R113" s="9"/>
      <c r="S113" s="13"/>
      <c r="T113" s="103"/>
      <c r="U113" s="103"/>
      <c r="V113" s="104"/>
      <c r="W113" s="29"/>
    </row>
    <row r="114" spans="1:23" x14ac:dyDescent="0.3">
      <c r="A114" s="49"/>
      <c r="B114" s="49"/>
      <c r="C114" s="49"/>
      <c r="D114" s="94"/>
      <c r="E114" s="85"/>
      <c r="F114" s="86"/>
      <c r="G114" s="88"/>
      <c r="H114" s="87"/>
      <c r="I114" s="87"/>
      <c r="J114" s="123"/>
      <c r="K114" s="140"/>
      <c r="L114" s="130"/>
      <c r="M114" s="129"/>
      <c r="N114" s="76"/>
      <c r="O114" s="144"/>
      <c r="P114" s="6"/>
      <c r="Q114" s="165"/>
      <c r="R114" s="9"/>
      <c r="S114" s="110"/>
      <c r="T114" s="103"/>
      <c r="U114" s="103"/>
      <c r="V114" s="104"/>
      <c r="W114" s="29"/>
    </row>
    <row r="115" spans="1:23" x14ac:dyDescent="0.3">
      <c r="A115" s="49"/>
      <c r="B115" s="49"/>
      <c r="C115" s="49"/>
      <c r="D115" s="94"/>
      <c r="E115" s="85"/>
      <c r="F115" s="86"/>
      <c r="G115" s="88"/>
      <c r="H115" s="87"/>
      <c r="I115" s="87"/>
      <c r="J115" s="123"/>
      <c r="K115" s="140"/>
      <c r="L115" s="130"/>
      <c r="M115" s="129"/>
      <c r="N115" s="76"/>
      <c r="O115" s="144"/>
      <c r="P115" s="6"/>
      <c r="Q115" s="16"/>
      <c r="R115" s="9"/>
      <c r="S115" s="110"/>
      <c r="T115" s="103"/>
      <c r="U115" s="103"/>
      <c r="V115" s="104"/>
      <c r="W115" s="29"/>
    </row>
    <row r="116" spans="1:23" x14ac:dyDescent="0.3">
      <c r="A116" s="49"/>
      <c r="B116" s="49"/>
      <c r="C116" s="49"/>
      <c r="D116" s="94"/>
      <c r="E116" s="85"/>
      <c r="F116" s="86"/>
      <c r="G116" s="88"/>
      <c r="H116" s="87"/>
      <c r="I116" s="87"/>
      <c r="J116" s="123"/>
      <c r="K116" s="140"/>
      <c r="L116" s="130"/>
      <c r="M116" s="129"/>
      <c r="N116" s="76"/>
      <c r="O116" s="144"/>
      <c r="P116" s="6"/>
      <c r="Q116" s="16"/>
      <c r="R116" s="8"/>
      <c r="S116" s="13"/>
      <c r="T116" s="103"/>
      <c r="U116" s="103"/>
      <c r="V116" s="104"/>
      <c r="W116" s="29"/>
    </row>
    <row r="117" spans="1:23" x14ac:dyDescent="0.3">
      <c r="A117" s="49"/>
      <c r="B117" s="49"/>
      <c r="C117" s="49"/>
      <c r="D117" s="94"/>
      <c r="E117" s="85"/>
      <c r="F117" s="86"/>
      <c r="G117" s="88"/>
      <c r="H117" s="87"/>
      <c r="I117" s="87"/>
      <c r="J117" s="123"/>
      <c r="K117" s="140"/>
      <c r="L117" s="130"/>
      <c r="M117" s="129"/>
      <c r="N117" s="76"/>
      <c r="O117" s="194"/>
      <c r="P117" s="6"/>
      <c r="Q117" s="16"/>
      <c r="R117" s="8"/>
      <c r="S117" s="110"/>
      <c r="T117" s="103"/>
      <c r="U117" s="103"/>
      <c r="V117" s="104"/>
      <c r="W117" s="29"/>
    </row>
    <row r="118" spans="1:23" x14ac:dyDescent="0.3">
      <c r="A118" s="49"/>
      <c r="B118" s="49"/>
      <c r="C118" s="49"/>
      <c r="D118" s="94"/>
      <c r="E118" s="85"/>
      <c r="F118" s="86"/>
      <c r="G118" s="83"/>
      <c r="H118" s="87"/>
      <c r="I118" s="87"/>
      <c r="J118" s="123"/>
      <c r="K118" s="140"/>
      <c r="L118" s="130"/>
      <c r="M118" s="128"/>
      <c r="N118" s="75"/>
      <c r="O118" s="152"/>
      <c r="P118" s="6"/>
      <c r="Q118" s="16"/>
      <c r="R118" s="8"/>
      <c r="S118" s="13"/>
      <c r="T118" s="103"/>
      <c r="U118" s="103"/>
      <c r="V118" s="104"/>
      <c r="W118" s="29"/>
    </row>
    <row r="119" spans="1:23" x14ac:dyDescent="0.3">
      <c r="A119" s="49"/>
      <c r="B119" s="49"/>
      <c r="C119" s="49"/>
      <c r="D119" s="94"/>
      <c r="E119" s="85"/>
      <c r="F119" s="86"/>
      <c r="G119" s="83"/>
      <c r="H119" s="87"/>
      <c r="I119" s="87"/>
      <c r="J119" s="123"/>
      <c r="K119" s="140"/>
      <c r="L119" s="130"/>
      <c r="M119" s="128"/>
      <c r="N119" s="75"/>
      <c r="O119" s="152"/>
      <c r="P119" s="6"/>
      <c r="Q119" s="16"/>
      <c r="R119" s="9"/>
      <c r="S119" s="110"/>
      <c r="T119" s="103"/>
      <c r="U119" s="103"/>
      <c r="V119" s="104"/>
      <c r="W119" s="29"/>
    </row>
    <row r="120" spans="1:23" x14ac:dyDescent="0.3">
      <c r="A120" s="49"/>
      <c r="B120" s="49"/>
      <c r="C120" s="49"/>
      <c r="D120" s="94"/>
      <c r="E120" s="85"/>
      <c r="F120" s="86"/>
      <c r="G120" s="85"/>
      <c r="H120" s="86"/>
      <c r="I120" s="85"/>
      <c r="J120" s="125"/>
      <c r="K120" s="140"/>
      <c r="L120" s="132"/>
      <c r="M120" s="128"/>
      <c r="N120" s="75"/>
      <c r="O120" s="152"/>
      <c r="P120" s="6"/>
      <c r="Q120" s="16"/>
      <c r="R120" s="106"/>
      <c r="S120" s="110"/>
      <c r="T120" s="103"/>
      <c r="U120" s="103"/>
      <c r="V120" s="104"/>
      <c r="W120" s="29"/>
    </row>
    <row r="121" spans="1:23" x14ac:dyDescent="0.3">
      <c r="A121" s="49"/>
      <c r="B121" s="49"/>
      <c r="C121" s="49"/>
      <c r="D121" s="94"/>
      <c r="E121" s="85"/>
      <c r="F121" s="86"/>
      <c r="G121" s="83"/>
      <c r="H121" s="87"/>
      <c r="I121" s="87"/>
      <c r="J121" s="123"/>
      <c r="K121" s="140"/>
      <c r="L121" s="130"/>
      <c r="M121" s="128"/>
      <c r="N121" s="75"/>
      <c r="O121" s="152"/>
      <c r="P121" s="6"/>
      <c r="Q121" s="165"/>
      <c r="R121" s="9"/>
      <c r="S121" s="110"/>
      <c r="T121" s="103"/>
      <c r="U121" s="103"/>
      <c r="V121" s="104"/>
      <c r="W121" s="29"/>
    </row>
    <row r="122" spans="1:23" x14ac:dyDescent="0.3">
      <c r="A122" s="49"/>
      <c r="B122" s="49"/>
      <c r="C122" s="49"/>
      <c r="D122" s="94"/>
      <c r="E122" s="85"/>
      <c r="F122" s="86"/>
      <c r="G122" s="89"/>
      <c r="H122" s="84"/>
      <c r="I122" s="84"/>
      <c r="J122" s="119"/>
      <c r="K122" s="140"/>
      <c r="L122" s="131"/>
      <c r="M122" s="128"/>
      <c r="N122" s="75"/>
      <c r="O122" s="152"/>
      <c r="P122" s="6"/>
      <c r="Q122" s="16"/>
      <c r="R122" s="9"/>
      <c r="S122" s="13"/>
      <c r="T122" s="103"/>
      <c r="U122" s="103"/>
      <c r="V122" s="104"/>
      <c r="W122" s="29"/>
    </row>
    <row r="123" spans="1:23" x14ac:dyDescent="0.3">
      <c r="A123" s="49"/>
      <c r="B123" s="49"/>
      <c r="C123" s="49"/>
      <c r="D123" s="94"/>
      <c r="E123" s="85"/>
      <c r="F123" s="86"/>
      <c r="G123" s="89"/>
      <c r="H123" s="84"/>
      <c r="I123" s="84"/>
      <c r="J123" s="119"/>
      <c r="K123" s="140"/>
      <c r="L123" s="131"/>
      <c r="M123" s="128"/>
      <c r="N123" s="75"/>
      <c r="O123" s="152"/>
      <c r="P123" s="6"/>
      <c r="Q123" s="165"/>
      <c r="R123" s="106"/>
      <c r="S123" s="110"/>
      <c r="T123" s="103"/>
      <c r="U123" s="103"/>
      <c r="V123" s="104"/>
      <c r="W123" s="29"/>
    </row>
    <row r="124" spans="1:23" x14ac:dyDescent="0.3">
      <c r="A124" s="49"/>
      <c r="B124" s="49"/>
      <c r="C124" s="49"/>
      <c r="D124" s="94"/>
      <c r="E124" s="85"/>
      <c r="F124" s="86"/>
      <c r="G124" s="89"/>
      <c r="H124" s="84"/>
      <c r="I124" s="87"/>
      <c r="J124" s="123"/>
      <c r="K124" s="140"/>
      <c r="L124" s="130"/>
      <c r="M124" s="128"/>
      <c r="N124" s="75"/>
      <c r="O124" s="152"/>
      <c r="P124" s="6"/>
      <c r="Q124" s="16"/>
      <c r="R124" s="106"/>
      <c r="S124" s="13"/>
      <c r="T124" s="103"/>
      <c r="U124" s="103"/>
      <c r="V124" s="104"/>
      <c r="W124" s="29"/>
    </row>
    <row r="125" spans="1:23" x14ac:dyDescent="0.3">
      <c r="A125" s="49"/>
      <c r="B125" s="49"/>
      <c r="C125" s="49"/>
      <c r="D125" s="94"/>
      <c r="E125" s="85"/>
      <c r="F125" s="86"/>
      <c r="G125" s="89"/>
      <c r="H125" s="84"/>
      <c r="I125" s="87"/>
      <c r="J125" s="123"/>
      <c r="K125" s="140"/>
      <c r="L125" s="130"/>
      <c r="M125" s="128"/>
      <c r="N125" s="75"/>
      <c r="O125" s="152"/>
      <c r="P125" s="6"/>
      <c r="Q125" s="165"/>
      <c r="R125" s="106"/>
      <c r="S125" s="110"/>
      <c r="T125" s="103"/>
      <c r="U125" s="103"/>
      <c r="V125" s="104"/>
      <c r="W125" s="29"/>
    </row>
    <row r="126" spans="1:23" x14ac:dyDescent="0.3">
      <c r="A126" s="49"/>
      <c r="B126" s="49"/>
      <c r="C126" s="49"/>
      <c r="D126" s="94"/>
      <c r="E126" s="85"/>
      <c r="F126" s="86"/>
      <c r="G126" s="83"/>
      <c r="H126" s="87"/>
      <c r="I126" s="87"/>
      <c r="J126" s="123"/>
      <c r="K126" s="140"/>
      <c r="L126" s="130"/>
      <c r="M126" s="128"/>
      <c r="N126" s="75"/>
      <c r="O126" s="152"/>
      <c r="P126" s="6"/>
      <c r="Q126" s="165"/>
      <c r="R126" s="8"/>
      <c r="S126" s="110"/>
      <c r="T126" s="103"/>
      <c r="U126" s="103"/>
      <c r="V126" s="104"/>
      <c r="W126" s="29"/>
    </row>
    <row r="127" spans="1:23" x14ac:dyDescent="0.3">
      <c r="A127" s="49"/>
      <c r="B127" s="49"/>
      <c r="C127" s="49"/>
      <c r="D127" s="94"/>
      <c r="E127" s="85"/>
      <c r="F127" s="86"/>
      <c r="G127" s="88"/>
      <c r="H127" s="87"/>
      <c r="I127" s="87"/>
      <c r="J127" s="123"/>
      <c r="K127" s="140"/>
      <c r="L127" s="130"/>
      <c r="M127" s="128"/>
      <c r="N127" s="75"/>
      <c r="O127" s="152"/>
      <c r="P127" s="6"/>
      <c r="Q127" s="16"/>
      <c r="R127" s="106"/>
      <c r="S127" s="110"/>
      <c r="T127" s="103"/>
      <c r="U127" s="103"/>
      <c r="V127" s="104"/>
      <c r="W127" s="29"/>
    </row>
    <row r="128" spans="1:23" x14ac:dyDescent="0.3">
      <c r="A128" s="49"/>
      <c r="B128" s="49"/>
      <c r="C128" s="49"/>
      <c r="D128" s="94"/>
      <c r="E128" s="85"/>
      <c r="F128" s="86"/>
      <c r="G128" s="88"/>
      <c r="H128" s="87"/>
      <c r="I128" s="87"/>
      <c r="J128" s="123"/>
      <c r="K128" s="140"/>
      <c r="L128" s="130"/>
      <c r="M128" s="124"/>
      <c r="N128" s="74"/>
      <c r="O128" s="194"/>
      <c r="P128" s="6"/>
      <c r="Q128" s="16"/>
      <c r="R128" s="106"/>
      <c r="S128" s="110"/>
      <c r="T128" s="103"/>
      <c r="U128" s="103"/>
      <c r="V128" s="104"/>
      <c r="W128" s="29"/>
    </row>
    <row r="129" spans="1:23" x14ac:dyDescent="0.3">
      <c r="A129" s="49"/>
      <c r="B129" s="49"/>
      <c r="C129" s="49"/>
      <c r="D129" s="94"/>
      <c r="E129" s="89"/>
      <c r="F129" s="84"/>
      <c r="G129" s="88"/>
      <c r="H129" s="87"/>
      <c r="I129" s="87"/>
      <c r="J129" s="123"/>
      <c r="K129" s="140"/>
      <c r="L129" s="130"/>
      <c r="M129" s="129"/>
      <c r="N129" s="76"/>
      <c r="O129" s="144"/>
      <c r="P129" s="6"/>
      <c r="Q129" s="165"/>
      <c r="R129" s="8"/>
      <c r="S129" s="110"/>
      <c r="T129" s="103"/>
      <c r="U129" s="103"/>
      <c r="V129" s="104"/>
      <c r="W129" s="29"/>
    </row>
    <row r="130" spans="1:23" x14ac:dyDescent="0.3">
      <c r="A130" s="49"/>
      <c r="B130" s="49"/>
      <c r="C130" s="49"/>
      <c r="D130" s="94"/>
      <c r="E130" s="85"/>
      <c r="F130" s="86"/>
      <c r="G130" s="88"/>
      <c r="H130" s="87"/>
      <c r="I130" s="87"/>
      <c r="J130" s="123"/>
      <c r="K130" s="140"/>
      <c r="L130" s="130"/>
      <c r="M130" s="129"/>
      <c r="N130" s="76"/>
      <c r="O130" s="144"/>
      <c r="P130" s="6"/>
      <c r="Q130" s="16"/>
      <c r="R130" s="9"/>
      <c r="S130" s="110"/>
      <c r="T130" s="103"/>
      <c r="U130" s="103"/>
      <c r="V130" s="104"/>
      <c r="W130" s="29"/>
    </row>
    <row r="131" spans="1:23" x14ac:dyDescent="0.3">
      <c r="A131" s="49"/>
      <c r="B131" s="49"/>
      <c r="C131" s="49"/>
      <c r="D131" s="94"/>
      <c r="E131" s="85"/>
      <c r="F131" s="86"/>
      <c r="G131" s="88"/>
      <c r="H131" s="87"/>
      <c r="I131" s="87"/>
      <c r="J131" s="123"/>
      <c r="K131" s="140"/>
      <c r="L131" s="130"/>
      <c r="M131" s="129"/>
      <c r="N131" s="76"/>
      <c r="O131" s="144"/>
      <c r="P131" s="6"/>
      <c r="Q131" s="16"/>
      <c r="R131" s="9"/>
      <c r="S131" s="110"/>
      <c r="T131" s="103"/>
      <c r="U131" s="103"/>
      <c r="V131" s="104"/>
      <c r="W131" s="29"/>
    </row>
    <row r="132" spans="1:23" x14ac:dyDescent="0.3">
      <c r="A132" s="49"/>
      <c r="B132" s="49"/>
      <c r="C132" s="49"/>
      <c r="D132" s="94"/>
      <c r="E132" s="85"/>
      <c r="F132" s="86"/>
      <c r="G132" s="88"/>
      <c r="H132" s="87"/>
      <c r="I132" s="87"/>
      <c r="J132" s="123"/>
      <c r="K132" s="140"/>
      <c r="L132" s="130"/>
      <c r="M132" s="129"/>
      <c r="N132" s="76"/>
      <c r="O132" s="144"/>
      <c r="P132" s="6"/>
      <c r="Q132" s="165"/>
      <c r="R132" s="8"/>
      <c r="S132" s="13"/>
      <c r="T132" s="103"/>
      <c r="U132" s="103"/>
      <c r="V132" s="104"/>
      <c r="W132" s="29"/>
    </row>
    <row r="133" spans="1:23" x14ac:dyDescent="0.3">
      <c r="A133" s="49"/>
      <c r="B133" s="49"/>
      <c r="C133" s="49"/>
      <c r="D133" s="94"/>
      <c r="E133" s="85"/>
      <c r="F133" s="86"/>
      <c r="G133" s="88"/>
      <c r="H133" s="87"/>
      <c r="I133" s="87"/>
      <c r="J133" s="123"/>
      <c r="K133" s="140"/>
      <c r="L133" s="130"/>
      <c r="M133" s="124"/>
      <c r="N133" s="74"/>
      <c r="O133" s="194"/>
      <c r="P133" s="6"/>
      <c r="Q133" s="165"/>
      <c r="R133" s="106"/>
      <c r="S133" s="110"/>
      <c r="T133" s="103"/>
      <c r="U133" s="103"/>
      <c r="V133" s="104"/>
      <c r="W133" s="29"/>
    </row>
    <row r="134" spans="1:23" x14ac:dyDescent="0.3">
      <c r="A134" s="49"/>
      <c r="B134" s="49"/>
      <c r="C134" s="49"/>
      <c r="D134" s="94"/>
      <c r="E134" s="85"/>
      <c r="F134" s="86"/>
      <c r="G134" s="83"/>
      <c r="H134" s="87"/>
      <c r="I134" s="87"/>
      <c r="J134" s="123"/>
      <c r="K134" s="140"/>
      <c r="L134" s="130"/>
      <c r="M134" s="124"/>
      <c r="N134" s="74"/>
      <c r="O134" s="194"/>
      <c r="P134" s="6"/>
      <c r="Q134" s="165"/>
      <c r="R134" s="106"/>
      <c r="S134" s="110"/>
      <c r="T134" s="103"/>
      <c r="U134" s="103"/>
      <c r="V134" s="104"/>
      <c r="W134" s="29"/>
    </row>
    <row r="135" spans="1:23" x14ac:dyDescent="0.3">
      <c r="A135" s="49"/>
      <c r="B135" s="49"/>
      <c r="C135" s="49"/>
      <c r="D135" s="94"/>
      <c r="E135" s="89"/>
      <c r="F135" s="84"/>
      <c r="G135" s="88"/>
      <c r="H135" s="87"/>
      <c r="I135" s="87"/>
      <c r="J135" s="123"/>
      <c r="K135" s="140"/>
      <c r="L135" s="130"/>
      <c r="M135" s="124"/>
      <c r="N135" s="74"/>
      <c r="O135" s="194"/>
      <c r="P135" s="6"/>
      <c r="Q135" s="165"/>
      <c r="R135" s="9"/>
      <c r="S135" s="110"/>
      <c r="T135" s="103"/>
      <c r="U135" s="103"/>
      <c r="V135" s="104"/>
      <c r="W135" s="29"/>
    </row>
    <row r="136" spans="1:23" x14ac:dyDescent="0.3">
      <c r="A136" s="49"/>
      <c r="B136" s="49"/>
      <c r="C136" s="49"/>
      <c r="D136" s="94"/>
      <c r="E136" s="89"/>
      <c r="F136" s="84"/>
      <c r="G136" s="89"/>
      <c r="H136" s="84"/>
      <c r="I136" s="87"/>
      <c r="J136" s="123"/>
      <c r="K136" s="140"/>
      <c r="L136" s="130"/>
      <c r="M136" s="124"/>
      <c r="N136" s="74"/>
      <c r="O136" s="194"/>
      <c r="P136" s="6"/>
      <c r="Q136" s="165"/>
      <c r="R136" s="9"/>
      <c r="S136" s="110"/>
      <c r="T136" s="103"/>
      <c r="U136" s="103"/>
      <c r="V136" s="104"/>
      <c r="W136" s="29"/>
    </row>
    <row r="137" spans="1:23" x14ac:dyDescent="0.3">
      <c r="A137" s="49"/>
      <c r="B137" s="49"/>
      <c r="C137" s="49"/>
      <c r="D137" s="94"/>
      <c r="E137" s="89"/>
      <c r="F137" s="84"/>
      <c r="G137" s="89"/>
      <c r="H137" s="84"/>
      <c r="I137" s="87"/>
      <c r="J137" s="123"/>
      <c r="K137" s="140"/>
      <c r="L137" s="130"/>
      <c r="M137" s="124"/>
      <c r="N137" s="74"/>
      <c r="O137" s="194"/>
      <c r="P137" s="6"/>
      <c r="Q137" s="16"/>
      <c r="R137" s="9"/>
      <c r="S137" s="110"/>
      <c r="T137" s="103"/>
      <c r="U137" s="103"/>
      <c r="V137" s="104"/>
      <c r="W137" s="29"/>
    </row>
    <row r="138" spans="1:23" x14ac:dyDescent="0.3">
      <c r="A138" s="49"/>
      <c r="B138" s="49"/>
      <c r="C138" s="49"/>
      <c r="D138" s="94"/>
      <c r="E138" s="89"/>
      <c r="F138" s="84"/>
      <c r="G138" s="88"/>
      <c r="H138" s="87"/>
      <c r="I138" s="87"/>
      <c r="J138" s="123"/>
      <c r="K138" s="140"/>
      <c r="L138" s="130"/>
      <c r="M138" s="129"/>
      <c r="N138" s="76"/>
      <c r="O138" s="144"/>
      <c r="P138" s="6"/>
      <c r="Q138" s="16"/>
      <c r="R138" s="9"/>
      <c r="S138" s="110"/>
      <c r="T138" s="103"/>
      <c r="U138" s="103"/>
      <c r="V138" s="104"/>
      <c r="W138" s="29"/>
    </row>
    <row r="139" spans="1:23" x14ac:dyDescent="0.3">
      <c r="A139" s="49"/>
      <c r="B139" s="49"/>
      <c r="C139" s="49"/>
      <c r="D139" s="94"/>
      <c r="E139" s="85"/>
      <c r="F139" s="86"/>
      <c r="G139" s="88"/>
      <c r="H139" s="87"/>
      <c r="I139" s="87"/>
      <c r="J139" s="123"/>
      <c r="K139" s="140"/>
      <c r="L139" s="130"/>
      <c r="M139" s="129"/>
      <c r="N139" s="76"/>
      <c r="O139" s="144"/>
      <c r="P139" s="6"/>
      <c r="Q139" s="165"/>
      <c r="R139" s="9"/>
      <c r="S139" s="110"/>
      <c r="T139" s="103"/>
      <c r="U139" s="103"/>
      <c r="V139" s="104"/>
      <c r="W139" s="29"/>
    </row>
    <row r="140" spans="1:23" x14ac:dyDescent="0.3">
      <c r="A140" s="49"/>
      <c r="B140" s="49"/>
      <c r="C140" s="49"/>
      <c r="D140" s="94"/>
      <c r="E140" s="85"/>
      <c r="F140" s="86"/>
      <c r="G140" s="89"/>
      <c r="H140" s="84"/>
      <c r="I140" s="87"/>
      <c r="J140" s="123"/>
      <c r="K140" s="140"/>
      <c r="L140" s="130"/>
      <c r="M140" s="129"/>
      <c r="N140" s="76"/>
      <c r="O140" s="144"/>
      <c r="P140" s="6"/>
      <c r="Q140" s="16"/>
      <c r="R140" s="9"/>
      <c r="S140" s="13"/>
      <c r="T140" s="103"/>
      <c r="U140" s="103"/>
      <c r="V140" s="104"/>
      <c r="W140" s="29"/>
    </row>
    <row r="141" spans="1:23" x14ac:dyDescent="0.3">
      <c r="A141" s="49"/>
      <c r="B141" s="49"/>
      <c r="C141" s="49"/>
      <c r="D141" s="94"/>
      <c r="E141" s="85"/>
      <c r="F141" s="86"/>
      <c r="G141" s="88"/>
      <c r="H141" s="87"/>
      <c r="I141" s="87"/>
      <c r="J141" s="123"/>
      <c r="K141" s="140"/>
      <c r="L141" s="130"/>
      <c r="M141" s="129"/>
      <c r="N141" s="76"/>
      <c r="O141" s="144"/>
      <c r="P141" s="6"/>
      <c r="Q141" s="16"/>
      <c r="R141" s="9"/>
      <c r="S141" s="110"/>
      <c r="T141" s="103"/>
      <c r="U141" s="103"/>
      <c r="V141" s="104"/>
      <c r="W141" s="29"/>
    </row>
    <row r="142" spans="1:23" x14ac:dyDescent="0.3">
      <c r="A142" s="49"/>
      <c r="B142" s="49"/>
      <c r="C142" s="49"/>
      <c r="D142" s="94"/>
      <c r="E142" s="85"/>
      <c r="F142" s="86"/>
      <c r="G142" s="89"/>
      <c r="H142" s="84"/>
      <c r="I142" s="87"/>
      <c r="J142" s="123"/>
      <c r="K142" s="140"/>
      <c r="L142" s="130"/>
      <c r="M142" s="129"/>
      <c r="N142" s="76"/>
      <c r="O142" s="144"/>
      <c r="P142" s="6"/>
      <c r="Q142" s="16"/>
      <c r="R142" s="8"/>
      <c r="S142" s="110"/>
      <c r="T142" s="103"/>
      <c r="U142" s="103"/>
      <c r="V142" s="104"/>
      <c r="W142" s="29"/>
    </row>
    <row r="143" spans="1:23" x14ac:dyDescent="0.3">
      <c r="A143" s="49"/>
      <c r="B143" s="49"/>
      <c r="C143" s="49"/>
      <c r="D143" s="94"/>
      <c r="E143" s="85"/>
      <c r="F143" s="86"/>
      <c r="G143" s="89"/>
      <c r="H143" s="84"/>
      <c r="I143" s="87"/>
      <c r="J143" s="123"/>
      <c r="K143" s="140"/>
      <c r="L143" s="130"/>
      <c r="M143" s="129"/>
      <c r="N143" s="76"/>
      <c r="O143" s="144"/>
      <c r="P143" s="6"/>
      <c r="Q143" s="16"/>
      <c r="R143" s="106"/>
      <c r="S143" s="110"/>
      <c r="T143" s="103"/>
      <c r="U143" s="103"/>
      <c r="V143" s="104"/>
      <c r="W143" s="29"/>
    </row>
    <row r="144" spans="1:23" x14ac:dyDescent="0.3">
      <c r="A144" s="49"/>
      <c r="B144" s="49"/>
      <c r="C144" s="49"/>
      <c r="D144" s="94"/>
      <c r="E144" s="85"/>
      <c r="F144" s="86"/>
      <c r="G144" s="88"/>
      <c r="H144" s="87"/>
      <c r="I144" s="87"/>
      <c r="J144" s="123"/>
      <c r="K144" s="140"/>
      <c r="L144" s="130"/>
      <c r="M144" s="124"/>
      <c r="N144" s="74"/>
      <c r="O144" s="194"/>
      <c r="P144" s="6"/>
      <c r="Q144" s="165"/>
      <c r="R144" s="8"/>
      <c r="S144" s="110"/>
      <c r="T144" s="103"/>
      <c r="U144" s="103"/>
      <c r="V144" s="104"/>
      <c r="W144" s="29"/>
    </row>
    <row r="145" spans="1:23" x14ac:dyDescent="0.3">
      <c r="A145" s="49"/>
      <c r="B145" s="49"/>
      <c r="C145" s="49"/>
      <c r="D145" s="94"/>
      <c r="E145" s="89"/>
      <c r="F145" s="84"/>
      <c r="G145" s="88"/>
      <c r="H145" s="87"/>
      <c r="I145" s="87"/>
      <c r="J145" s="123"/>
      <c r="K145" s="140"/>
      <c r="L145" s="130"/>
      <c r="M145" s="124"/>
      <c r="N145" s="74"/>
      <c r="O145" s="194"/>
      <c r="P145" s="6"/>
      <c r="Q145" s="165"/>
      <c r="R145" s="106"/>
      <c r="S145" s="13"/>
      <c r="T145" s="103"/>
      <c r="U145" s="103"/>
      <c r="V145" s="104"/>
      <c r="W145" s="29"/>
    </row>
    <row r="146" spans="1:23" x14ac:dyDescent="0.3">
      <c r="A146" s="49"/>
      <c r="B146" s="49"/>
      <c r="C146" s="49"/>
      <c r="D146" s="94"/>
      <c r="E146" s="89"/>
      <c r="F146" s="84"/>
      <c r="G146" s="88"/>
      <c r="H146" s="87"/>
      <c r="I146" s="87"/>
      <c r="J146" s="123"/>
      <c r="K146" s="140"/>
      <c r="L146" s="130"/>
      <c r="M146" s="129"/>
      <c r="N146" s="76"/>
      <c r="O146" s="144"/>
      <c r="P146" s="6"/>
      <c r="Q146" s="16"/>
      <c r="R146" s="9"/>
      <c r="S146" s="110"/>
      <c r="T146" s="103"/>
      <c r="U146" s="103"/>
      <c r="V146" s="104"/>
      <c r="W146" s="29"/>
    </row>
    <row r="147" spans="1:23" x14ac:dyDescent="0.3">
      <c r="A147" s="49"/>
      <c r="B147" s="49"/>
      <c r="C147" s="49"/>
      <c r="D147" s="94"/>
      <c r="E147" s="85"/>
      <c r="F147" s="86"/>
      <c r="G147" s="88"/>
      <c r="H147" s="87"/>
      <c r="I147" s="87"/>
      <c r="J147" s="123"/>
      <c r="K147" s="140"/>
      <c r="L147" s="130"/>
      <c r="M147" s="124"/>
      <c r="N147" s="74"/>
      <c r="O147" s="194"/>
      <c r="P147" s="6"/>
      <c r="Q147" s="165"/>
      <c r="R147" s="9"/>
      <c r="S147" s="110"/>
      <c r="T147" s="103"/>
      <c r="U147" s="103"/>
      <c r="V147" s="104"/>
      <c r="W147" s="29"/>
    </row>
    <row r="148" spans="1:23" x14ac:dyDescent="0.3">
      <c r="A148" s="49"/>
      <c r="B148" s="49"/>
      <c r="C148" s="49"/>
      <c r="D148" s="94"/>
      <c r="E148" s="89"/>
      <c r="F148" s="84"/>
      <c r="G148" s="88"/>
      <c r="H148" s="87"/>
      <c r="I148" s="87"/>
      <c r="J148" s="123"/>
      <c r="K148" s="140"/>
      <c r="L148" s="130"/>
      <c r="M148" s="129"/>
      <c r="N148" s="76"/>
      <c r="O148" s="194"/>
      <c r="P148" s="6"/>
      <c r="Q148" s="165"/>
      <c r="R148" s="8"/>
      <c r="S148" s="110"/>
      <c r="T148" s="103"/>
      <c r="U148" s="103"/>
      <c r="V148" s="104"/>
      <c r="W148" s="29"/>
    </row>
    <row r="149" spans="1:23" x14ac:dyDescent="0.3">
      <c r="A149" s="49"/>
      <c r="B149" s="49"/>
      <c r="C149" s="49"/>
      <c r="D149" s="94"/>
      <c r="E149" s="85"/>
      <c r="F149" s="86"/>
      <c r="G149" s="89"/>
      <c r="H149" s="84"/>
      <c r="I149" s="84"/>
      <c r="J149" s="119"/>
      <c r="K149" s="140"/>
      <c r="L149" s="131"/>
      <c r="M149" s="129"/>
      <c r="N149" s="76"/>
      <c r="O149" s="144"/>
      <c r="P149" s="6"/>
      <c r="Q149" s="16"/>
      <c r="R149" s="8"/>
      <c r="S149" s="110"/>
      <c r="T149" s="103"/>
      <c r="U149" s="103"/>
      <c r="V149" s="104"/>
      <c r="W149" s="29"/>
    </row>
    <row r="150" spans="1:23" x14ac:dyDescent="0.3">
      <c r="A150" s="49"/>
      <c r="B150" s="49"/>
      <c r="C150" s="49"/>
      <c r="D150" s="94"/>
      <c r="E150" s="85"/>
      <c r="F150" s="86"/>
      <c r="G150" s="85"/>
      <c r="H150" s="86"/>
      <c r="I150" s="87"/>
      <c r="J150" s="123"/>
      <c r="K150" s="140"/>
      <c r="L150" s="130"/>
      <c r="M150" s="129"/>
      <c r="N150" s="76"/>
      <c r="O150" s="144"/>
      <c r="P150" s="6"/>
      <c r="Q150" s="16"/>
      <c r="R150" s="8"/>
      <c r="S150" s="13"/>
      <c r="T150" s="103"/>
      <c r="U150" s="103"/>
      <c r="V150" s="104"/>
      <c r="W150" s="29"/>
    </row>
    <row r="151" spans="1:23" x14ac:dyDescent="0.3">
      <c r="A151" s="49"/>
      <c r="B151" s="49"/>
      <c r="C151" s="49"/>
      <c r="D151" s="94"/>
      <c r="E151" s="85"/>
      <c r="F151" s="86"/>
      <c r="G151" s="85"/>
      <c r="H151" s="86"/>
      <c r="I151" s="87"/>
      <c r="J151" s="123"/>
      <c r="K151" s="140"/>
      <c r="L151" s="130"/>
      <c r="M151" s="129"/>
      <c r="N151" s="76"/>
      <c r="O151" s="144"/>
      <c r="P151" s="6"/>
      <c r="Q151" s="16"/>
      <c r="R151" s="9"/>
      <c r="S151" s="13"/>
      <c r="T151" s="103"/>
      <c r="U151" s="103"/>
      <c r="V151" s="104"/>
      <c r="W151" s="29"/>
    </row>
    <row r="152" spans="1:23" x14ac:dyDescent="0.3">
      <c r="A152" s="49"/>
      <c r="B152" s="49"/>
      <c r="C152" s="49"/>
      <c r="D152" s="94"/>
      <c r="E152" s="85"/>
      <c r="F152" s="86"/>
      <c r="G152" s="88"/>
      <c r="H152" s="87"/>
      <c r="I152" s="87"/>
      <c r="J152" s="123"/>
      <c r="K152" s="140"/>
      <c r="L152" s="130"/>
      <c r="M152" s="129"/>
      <c r="N152" s="76"/>
      <c r="O152" s="194"/>
      <c r="P152" s="6"/>
      <c r="Q152" s="16"/>
      <c r="R152" s="9"/>
      <c r="S152" s="13"/>
      <c r="T152" s="103"/>
      <c r="U152" s="103"/>
      <c r="V152" s="104"/>
      <c r="W152" s="29"/>
    </row>
    <row r="153" spans="1:23" x14ac:dyDescent="0.3">
      <c r="A153" s="49"/>
      <c r="B153" s="49"/>
      <c r="C153" s="49"/>
      <c r="D153" s="94"/>
      <c r="E153" s="85"/>
      <c r="F153" s="86"/>
      <c r="G153" s="88"/>
      <c r="H153" s="87"/>
      <c r="I153" s="87"/>
      <c r="J153" s="123"/>
      <c r="K153" s="140"/>
      <c r="L153" s="130"/>
      <c r="M153" s="129"/>
      <c r="N153" s="76"/>
      <c r="O153" s="194"/>
      <c r="P153" s="6"/>
      <c r="Q153" s="16"/>
      <c r="R153" s="106"/>
      <c r="S153" s="13"/>
      <c r="T153" s="103"/>
      <c r="U153" s="103"/>
      <c r="V153" s="104"/>
      <c r="W153" s="29"/>
    </row>
    <row r="154" spans="1:23" x14ac:dyDescent="0.3">
      <c r="A154" s="49"/>
      <c r="B154" s="49"/>
      <c r="C154" s="49"/>
      <c r="D154" s="94"/>
      <c r="E154" s="85"/>
      <c r="F154" s="86"/>
      <c r="G154" s="89"/>
      <c r="H154" s="84"/>
      <c r="I154" s="84"/>
      <c r="J154" s="119"/>
      <c r="K154" s="140"/>
      <c r="L154" s="131"/>
      <c r="M154" s="128"/>
      <c r="N154" s="75"/>
      <c r="O154" s="152"/>
      <c r="P154" s="6"/>
      <c r="Q154" s="16"/>
      <c r="R154" s="106"/>
      <c r="S154" s="110"/>
      <c r="T154" s="103"/>
      <c r="U154" s="103"/>
      <c r="V154" s="104"/>
      <c r="W154" s="29"/>
    </row>
    <row r="155" spans="1:23" x14ac:dyDescent="0.3">
      <c r="A155" s="49"/>
      <c r="B155" s="49"/>
      <c r="C155" s="49"/>
      <c r="D155" s="94"/>
      <c r="E155" s="85"/>
      <c r="F155" s="86"/>
      <c r="G155" s="85"/>
      <c r="H155" s="86"/>
      <c r="I155" s="87"/>
      <c r="J155" s="123"/>
      <c r="K155" s="140"/>
      <c r="L155" s="130"/>
      <c r="M155" s="128"/>
      <c r="N155" s="75"/>
      <c r="O155" s="152"/>
      <c r="P155" s="6"/>
      <c r="Q155" s="165"/>
      <c r="R155" s="8"/>
      <c r="S155" s="13"/>
      <c r="T155" s="103"/>
      <c r="U155" s="103"/>
      <c r="V155" s="104"/>
      <c r="W155" s="29"/>
    </row>
    <row r="156" spans="1:23" x14ac:dyDescent="0.3">
      <c r="A156" s="49"/>
      <c r="B156" s="49"/>
      <c r="C156" s="49"/>
      <c r="D156" s="94"/>
      <c r="E156" s="85"/>
      <c r="F156" s="86"/>
      <c r="G156" s="89"/>
      <c r="H156" s="84"/>
      <c r="I156" s="84"/>
      <c r="J156" s="119"/>
      <c r="K156" s="140"/>
      <c r="L156" s="131"/>
      <c r="M156" s="128"/>
      <c r="N156" s="75"/>
      <c r="O156" s="152"/>
      <c r="P156" s="6"/>
      <c r="Q156" s="16"/>
      <c r="R156" s="9"/>
      <c r="S156" s="13"/>
      <c r="T156" s="103"/>
      <c r="U156" s="103"/>
      <c r="V156" s="104"/>
      <c r="W156" s="29"/>
    </row>
    <row r="157" spans="1:23" x14ac:dyDescent="0.3">
      <c r="A157" s="49"/>
      <c r="B157" s="49"/>
      <c r="C157" s="49"/>
      <c r="D157" s="94"/>
      <c r="E157" s="85"/>
      <c r="F157" s="86"/>
      <c r="G157" s="85"/>
      <c r="H157" s="86"/>
      <c r="I157" s="85"/>
      <c r="J157" s="125"/>
      <c r="K157" s="140"/>
      <c r="L157" s="132"/>
      <c r="M157" s="129"/>
      <c r="N157" s="76"/>
      <c r="O157" s="194"/>
      <c r="P157" s="6"/>
      <c r="Q157" s="16"/>
      <c r="R157" s="8"/>
      <c r="S157" s="13"/>
      <c r="T157" s="103"/>
      <c r="U157" s="103"/>
      <c r="V157" s="104"/>
      <c r="W157" s="29"/>
    </row>
    <row r="158" spans="1:23" x14ac:dyDescent="0.3">
      <c r="A158" s="49"/>
      <c r="B158" s="49"/>
      <c r="C158" s="49"/>
      <c r="D158" s="94"/>
      <c r="E158" s="85"/>
      <c r="F158" s="86"/>
      <c r="G158" s="89"/>
      <c r="H158" s="84"/>
      <c r="I158" s="84"/>
      <c r="J158" s="119"/>
      <c r="K158" s="140"/>
      <c r="L158" s="131"/>
      <c r="M158" s="129"/>
      <c r="N158" s="76"/>
      <c r="O158" s="144"/>
      <c r="P158" s="6"/>
      <c r="Q158" s="16"/>
      <c r="R158" s="106"/>
      <c r="S158" s="13"/>
      <c r="T158" s="103"/>
      <c r="U158" s="103"/>
      <c r="V158" s="104"/>
      <c r="W158" s="29"/>
    </row>
    <row r="159" spans="1:23" x14ac:dyDescent="0.3">
      <c r="A159" s="49"/>
      <c r="B159" s="49"/>
      <c r="C159" s="49"/>
      <c r="D159" s="94"/>
      <c r="E159" s="85"/>
      <c r="F159" s="86"/>
      <c r="G159" s="88"/>
      <c r="H159" s="87"/>
      <c r="I159" s="87"/>
      <c r="J159" s="123"/>
      <c r="K159" s="140"/>
      <c r="L159" s="130"/>
      <c r="M159" s="129"/>
      <c r="N159" s="76"/>
      <c r="O159" s="144"/>
      <c r="P159" s="6"/>
      <c r="Q159" s="16"/>
      <c r="R159" s="8"/>
      <c r="S159" s="110"/>
      <c r="T159" s="103"/>
      <c r="U159" s="103"/>
      <c r="V159" s="104"/>
      <c r="W159" s="29"/>
    </row>
    <row r="160" spans="1:23" x14ac:dyDescent="0.3">
      <c r="A160" s="49"/>
      <c r="B160" s="49"/>
      <c r="C160" s="49"/>
      <c r="D160" s="94"/>
      <c r="E160" s="85"/>
      <c r="F160" s="86"/>
      <c r="G160" s="88"/>
      <c r="H160" s="87"/>
      <c r="I160" s="87"/>
      <c r="J160" s="123"/>
      <c r="K160" s="140"/>
      <c r="L160" s="130"/>
      <c r="M160" s="129"/>
      <c r="N160" s="76"/>
      <c r="O160" s="144"/>
      <c r="P160" s="6"/>
      <c r="Q160" s="16"/>
      <c r="R160" s="106"/>
      <c r="S160" s="110"/>
      <c r="T160" s="103"/>
      <c r="U160" s="103"/>
      <c r="V160" s="104"/>
      <c r="W160" s="29"/>
    </row>
    <row r="161" spans="1:23" x14ac:dyDescent="0.3">
      <c r="A161" s="49"/>
      <c r="B161" s="49"/>
      <c r="C161" s="49"/>
      <c r="D161" s="94"/>
      <c r="E161" s="85"/>
      <c r="F161" s="86"/>
      <c r="G161" s="85"/>
      <c r="H161" s="86"/>
      <c r="I161" s="87"/>
      <c r="J161" s="123"/>
      <c r="K161" s="140"/>
      <c r="L161" s="130"/>
      <c r="M161" s="129"/>
      <c r="N161" s="76"/>
      <c r="O161" s="194"/>
      <c r="P161" s="6"/>
      <c r="Q161" s="16"/>
      <c r="R161" s="9"/>
      <c r="S161" s="110"/>
      <c r="T161" s="103"/>
      <c r="U161" s="103"/>
      <c r="V161" s="104"/>
      <c r="W161" s="29"/>
    </row>
    <row r="162" spans="1:23" x14ac:dyDescent="0.3">
      <c r="A162" s="49"/>
      <c r="B162" s="49"/>
      <c r="C162" s="49"/>
      <c r="D162" s="94"/>
      <c r="E162" s="85"/>
      <c r="F162" s="86"/>
      <c r="G162" s="89"/>
      <c r="H162" s="84"/>
      <c r="I162" s="84"/>
      <c r="J162" s="119"/>
      <c r="K162" s="140"/>
      <c r="L162" s="131"/>
      <c r="M162" s="129"/>
      <c r="N162" s="76"/>
      <c r="O162" s="194"/>
      <c r="P162" s="6"/>
      <c r="Q162" s="165"/>
      <c r="R162" s="106"/>
      <c r="S162" s="13"/>
      <c r="T162" s="103"/>
      <c r="U162" s="103"/>
      <c r="V162" s="104"/>
      <c r="W162" s="29"/>
    </row>
    <row r="163" spans="1:23" x14ac:dyDescent="0.3">
      <c r="A163" s="49"/>
      <c r="B163" s="49"/>
      <c r="C163" s="49"/>
      <c r="D163" s="94"/>
      <c r="E163" s="85"/>
      <c r="F163" s="86"/>
      <c r="G163" s="88"/>
      <c r="H163" s="87"/>
      <c r="I163" s="87"/>
      <c r="J163" s="123"/>
      <c r="K163" s="140"/>
      <c r="L163" s="130"/>
      <c r="M163" s="129"/>
      <c r="N163" s="76"/>
      <c r="O163" s="144"/>
      <c r="P163" s="6"/>
      <c r="Q163" s="16"/>
      <c r="R163" s="8"/>
      <c r="S163" s="110"/>
      <c r="T163" s="103"/>
      <c r="U163" s="103"/>
      <c r="V163" s="104"/>
      <c r="W163" s="29"/>
    </row>
    <row r="164" spans="1:23" x14ac:dyDescent="0.3">
      <c r="A164" s="49"/>
      <c r="B164" s="49"/>
      <c r="C164" s="49"/>
      <c r="D164" s="94"/>
      <c r="E164" s="85"/>
      <c r="F164" s="86"/>
      <c r="G164" s="88"/>
      <c r="H164" s="87"/>
      <c r="I164" s="87"/>
      <c r="J164" s="123"/>
      <c r="K164" s="140"/>
      <c r="L164" s="130"/>
      <c r="M164" s="129"/>
      <c r="N164" s="76"/>
      <c r="O164" s="144"/>
      <c r="P164" s="6"/>
      <c r="Q164" s="16"/>
      <c r="R164" s="106"/>
      <c r="S164" s="13"/>
      <c r="T164" s="103"/>
      <c r="U164" s="103"/>
      <c r="V164" s="104"/>
      <c r="W164" s="29"/>
    </row>
    <row r="165" spans="1:23" x14ac:dyDescent="0.3">
      <c r="A165" s="49"/>
      <c r="B165" s="49"/>
      <c r="C165" s="49"/>
      <c r="D165" s="94"/>
      <c r="E165" s="85"/>
      <c r="F165" s="86"/>
      <c r="G165" s="88"/>
      <c r="H165" s="87"/>
      <c r="I165" s="87"/>
      <c r="J165" s="123"/>
      <c r="K165" s="140"/>
      <c r="L165" s="130"/>
      <c r="M165" s="129"/>
      <c r="N165" s="76"/>
      <c r="O165" s="194"/>
      <c r="P165" s="6"/>
      <c r="Q165" s="165"/>
      <c r="R165" s="106"/>
      <c r="S165" s="110"/>
      <c r="T165" s="103"/>
      <c r="U165" s="103"/>
      <c r="V165" s="104"/>
      <c r="W165" s="29"/>
    </row>
    <row r="166" spans="1:23" x14ac:dyDescent="0.3">
      <c r="A166" s="49"/>
      <c r="B166" s="49"/>
      <c r="C166" s="49"/>
      <c r="D166" s="94"/>
      <c r="E166" s="85"/>
      <c r="F166" s="86"/>
      <c r="G166" s="88"/>
      <c r="H166" s="87"/>
      <c r="I166" s="87"/>
      <c r="J166" s="123"/>
      <c r="K166" s="140"/>
      <c r="L166" s="130"/>
      <c r="M166" s="129"/>
      <c r="N166" s="76"/>
      <c r="O166" s="144"/>
      <c r="P166" s="6"/>
      <c r="Q166" s="165"/>
      <c r="R166" s="9"/>
      <c r="S166" s="110"/>
      <c r="T166" s="103"/>
      <c r="U166" s="103"/>
      <c r="V166" s="104"/>
      <c r="W166" s="29"/>
    </row>
    <row r="167" spans="1:23" x14ac:dyDescent="0.3">
      <c r="A167" s="49"/>
      <c r="B167" s="49"/>
      <c r="C167" s="49"/>
      <c r="D167" s="94"/>
      <c r="E167" s="85"/>
      <c r="F167" s="86"/>
      <c r="G167" s="88"/>
      <c r="H167" s="87"/>
      <c r="I167" s="87"/>
      <c r="J167" s="123"/>
      <c r="K167" s="140"/>
      <c r="L167" s="130"/>
      <c r="M167" s="129"/>
      <c r="N167" s="76"/>
      <c r="O167" s="144"/>
      <c r="P167" s="6"/>
      <c r="Q167" s="16"/>
      <c r="R167" s="9"/>
      <c r="S167" s="13"/>
      <c r="T167" s="103"/>
      <c r="U167" s="103"/>
      <c r="V167" s="104"/>
      <c r="W167" s="29"/>
    </row>
    <row r="168" spans="1:23" x14ac:dyDescent="0.3">
      <c r="A168" s="49"/>
      <c r="B168" s="49"/>
      <c r="C168" s="49"/>
      <c r="D168" s="94"/>
      <c r="E168" s="85"/>
      <c r="F168" s="86"/>
      <c r="G168" s="88"/>
      <c r="H168" s="87"/>
      <c r="I168" s="87"/>
      <c r="J168" s="123"/>
      <c r="K168" s="140"/>
      <c r="L168" s="130"/>
      <c r="M168" s="129"/>
      <c r="N168" s="76"/>
      <c r="O168" s="144"/>
      <c r="P168" s="6"/>
      <c r="Q168" s="16"/>
      <c r="R168" s="9"/>
      <c r="S168" s="110"/>
      <c r="T168" s="103"/>
      <c r="U168" s="103"/>
      <c r="V168" s="104"/>
      <c r="W168" s="29"/>
    </row>
    <row r="169" spans="1:23" x14ac:dyDescent="0.3">
      <c r="A169" s="49"/>
      <c r="B169" s="49"/>
      <c r="C169" s="49"/>
      <c r="D169" s="94"/>
      <c r="E169" s="85"/>
      <c r="F169" s="86"/>
      <c r="G169" s="89"/>
      <c r="H169" s="84"/>
      <c r="I169" s="84"/>
      <c r="J169" s="119"/>
      <c r="K169" s="140"/>
      <c r="L169" s="131"/>
      <c r="M169" s="129"/>
      <c r="N169" s="76"/>
      <c r="O169" s="144"/>
      <c r="P169" s="6"/>
      <c r="Q169" s="16"/>
      <c r="R169" s="9"/>
      <c r="S169" s="13"/>
      <c r="T169" s="103"/>
      <c r="U169" s="103"/>
      <c r="V169" s="104"/>
      <c r="W169" s="29"/>
    </row>
    <row r="170" spans="1:23" x14ac:dyDescent="0.3">
      <c r="A170" s="49"/>
      <c r="B170" s="49"/>
      <c r="C170" s="49"/>
      <c r="D170" s="94"/>
      <c r="E170" s="85"/>
      <c r="F170" s="86"/>
      <c r="G170" s="88"/>
      <c r="H170" s="87"/>
      <c r="I170" s="87"/>
      <c r="J170" s="123"/>
      <c r="K170" s="140"/>
      <c r="L170" s="130"/>
      <c r="M170" s="129"/>
      <c r="N170" s="76"/>
      <c r="O170" s="144"/>
      <c r="P170" s="6"/>
      <c r="Q170" s="16"/>
      <c r="R170" s="9"/>
      <c r="S170" s="13"/>
      <c r="T170" s="103"/>
      <c r="U170" s="103"/>
      <c r="V170" s="104"/>
      <c r="W170" s="29"/>
    </row>
    <row r="171" spans="1:23" x14ac:dyDescent="0.3">
      <c r="A171" s="49"/>
      <c r="B171" s="49"/>
      <c r="C171" s="49"/>
      <c r="D171" s="94"/>
      <c r="E171" s="85"/>
      <c r="F171" s="86"/>
      <c r="G171" s="88"/>
      <c r="H171" s="87"/>
      <c r="I171" s="87"/>
      <c r="J171" s="123"/>
      <c r="K171" s="140"/>
      <c r="L171" s="130"/>
      <c r="M171" s="129"/>
      <c r="N171" s="76"/>
      <c r="O171" s="144"/>
      <c r="P171" s="6"/>
      <c r="Q171" s="16"/>
      <c r="R171" s="106"/>
      <c r="S171" s="110"/>
      <c r="T171" s="103"/>
      <c r="U171" s="103"/>
      <c r="V171" s="104"/>
      <c r="W171" s="29"/>
    </row>
    <row r="172" spans="1:23" x14ac:dyDescent="0.3">
      <c r="A172" s="49"/>
      <c r="B172" s="49"/>
      <c r="C172" s="49"/>
      <c r="D172" s="94"/>
      <c r="E172" s="89"/>
      <c r="F172" s="84"/>
      <c r="G172" s="89"/>
      <c r="H172" s="84"/>
      <c r="I172" s="84"/>
      <c r="J172" s="119"/>
      <c r="K172" s="140"/>
      <c r="L172" s="131"/>
      <c r="M172" s="129"/>
      <c r="N172" s="76"/>
      <c r="O172" s="144"/>
      <c r="P172" s="6"/>
      <c r="Q172" s="165"/>
      <c r="R172" s="8"/>
      <c r="S172" s="13"/>
      <c r="T172" s="103"/>
      <c r="U172" s="103"/>
      <c r="V172" s="104"/>
      <c r="W172" s="29"/>
    </row>
    <row r="173" spans="1:23" x14ac:dyDescent="0.3">
      <c r="A173" s="49"/>
      <c r="B173" s="49"/>
      <c r="C173" s="49"/>
      <c r="D173" s="94"/>
      <c r="E173" s="85"/>
      <c r="F173" s="86"/>
      <c r="G173" s="88"/>
      <c r="H173" s="87"/>
      <c r="I173" s="87"/>
      <c r="J173" s="123"/>
      <c r="K173" s="140"/>
      <c r="L173" s="130"/>
      <c r="M173" s="129"/>
      <c r="N173" s="76"/>
      <c r="O173" s="144"/>
      <c r="P173" s="6"/>
      <c r="Q173" s="16"/>
      <c r="R173" s="9"/>
      <c r="S173" s="13"/>
      <c r="T173" s="103"/>
      <c r="U173" s="103"/>
      <c r="V173" s="104"/>
      <c r="W173" s="29"/>
    </row>
    <row r="174" spans="1:23" x14ac:dyDescent="0.3">
      <c r="A174" s="49"/>
      <c r="B174" s="49"/>
      <c r="C174" s="49"/>
      <c r="D174" s="94"/>
      <c r="E174" s="85"/>
      <c r="F174" s="86"/>
      <c r="G174" s="85"/>
      <c r="H174" s="86"/>
      <c r="I174" s="87"/>
      <c r="J174" s="123"/>
      <c r="K174" s="140"/>
      <c r="L174" s="130"/>
      <c r="M174" s="129"/>
      <c r="N174" s="76"/>
      <c r="O174" s="194"/>
      <c r="P174" s="6"/>
      <c r="Q174" s="165"/>
      <c r="R174" s="8"/>
      <c r="S174" s="110"/>
      <c r="T174" s="103"/>
      <c r="U174" s="103"/>
      <c r="V174" s="104"/>
      <c r="W174" s="29"/>
    </row>
    <row r="175" spans="1:23" x14ac:dyDescent="0.3">
      <c r="A175" s="49"/>
      <c r="B175" s="49"/>
      <c r="C175" s="49"/>
      <c r="D175" s="94"/>
      <c r="E175" s="85"/>
      <c r="F175" s="86"/>
      <c r="G175" s="88"/>
      <c r="H175" s="87"/>
      <c r="I175" s="87"/>
      <c r="J175" s="123"/>
      <c r="K175" s="140"/>
      <c r="L175" s="130"/>
      <c r="M175" s="129"/>
      <c r="N175" s="76"/>
      <c r="O175" s="144"/>
      <c r="P175" s="6"/>
      <c r="Q175" s="16"/>
      <c r="R175" s="9"/>
      <c r="S175" s="13"/>
      <c r="T175" s="103"/>
      <c r="U175" s="103"/>
      <c r="V175" s="104"/>
      <c r="W175" s="29"/>
    </row>
    <row r="176" spans="1:23" x14ac:dyDescent="0.3">
      <c r="A176" s="49"/>
      <c r="B176" s="49"/>
      <c r="C176" s="49"/>
      <c r="D176" s="94"/>
      <c r="E176" s="85"/>
      <c r="F176" s="86"/>
      <c r="G176" s="89"/>
      <c r="H176" s="84"/>
      <c r="I176" s="84"/>
      <c r="J176" s="119"/>
      <c r="K176" s="140"/>
      <c r="L176" s="131"/>
      <c r="M176" s="129"/>
      <c r="N176" s="76"/>
      <c r="O176" s="144"/>
      <c r="P176" s="6"/>
      <c r="Q176" s="165"/>
      <c r="R176" s="8"/>
      <c r="S176" s="110"/>
      <c r="T176" s="103"/>
      <c r="U176" s="103"/>
      <c r="V176" s="104"/>
      <c r="W176" s="29"/>
    </row>
    <row r="177" spans="1:23" x14ac:dyDescent="0.3">
      <c r="A177" s="49"/>
      <c r="B177" s="49"/>
      <c r="C177" s="49"/>
      <c r="D177" s="94"/>
      <c r="E177" s="85"/>
      <c r="F177" s="86"/>
      <c r="G177" s="89"/>
      <c r="H177" s="84"/>
      <c r="I177" s="84"/>
      <c r="J177" s="119"/>
      <c r="K177" s="140"/>
      <c r="L177" s="131"/>
      <c r="M177" s="129"/>
      <c r="N177" s="76"/>
      <c r="O177" s="144"/>
      <c r="P177" s="6"/>
      <c r="Q177" s="16"/>
      <c r="R177" s="106"/>
      <c r="S177" s="13"/>
      <c r="T177" s="103"/>
      <c r="U177" s="103"/>
      <c r="V177" s="104"/>
      <c r="W177" s="29"/>
    </row>
    <row r="178" spans="1:23" x14ac:dyDescent="0.3">
      <c r="A178" s="49"/>
      <c r="B178" s="49"/>
      <c r="C178" s="49"/>
      <c r="D178" s="94"/>
      <c r="E178" s="85"/>
      <c r="F178" s="86"/>
      <c r="G178" s="88"/>
      <c r="H178" s="87"/>
      <c r="I178" s="87"/>
      <c r="J178" s="123"/>
      <c r="K178" s="140"/>
      <c r="L178" s="130"/>
      <c r="M178" s="124"/>
      <c r="N178" s="74"/>
      <c r="O178" s="194"/>
      <c r="P178" s="6"/>
      <c r="Q178" s="16"/>
      <c r="R178" s="9"/>
      <c r="S178" s="13"/>
      <c r="T178" s="103"/>
      <c r="U178" s="103"/>
      <c r="V178" s="104"/>
      <c r="W178" s="29"/>
    </row>
    <row r="179" spans="1:23" x14ac:dyDescent="0.3">
      <c r="A179" s="49"/>
      <c r="B179" s="49"/>
      <c r="C179" s="49"/>
      <c r="D179" s="94"/>
      <c r="E179" s="89"/>
      <c r="F179" s="84"/>
      <c r="G179" s="89"/>
      <c r="H179" s="84"/>
      <c r="I179" s="84"/>
      <c r="J179" s="119"/>
      <c r="K179" s="140"/>
      <c r="L179" s="131"/>
      <c r="M179" s="129"/>
      <c r="N179" s="76"/>
      <c r="O179" s="194"/>
      <c r="P179" s="6"/>
      <c r="Q179" s="16"/>
      <c r="R179" s="9"/>
      <c r="S179" s="110"/>
      <c r="T179" s="103"/>
      <c r="U179" s="103"/>
      <c r="V179" s="104"/>
      <c r="W179" s="29"/>
    </row>
    <row r="180" spans="1:23" x14ac:dyDescent="0.3">
      <c r="A180" s="49"/>
      <c r="B180" s="49"/>
      <c r="C180" s="49"/>
      <c r="D180" s="94"/>
      <c r="E180" s="85"/>
      <c r="F180" s="86"/>
      <c r="G180" s="88"/>
      <c r="H180" s="87"/>
      <c r="I180" s="87"/>
      <c r="J180" s="123"/>
      <c r="K180" s="140"/>
      <c r="L180" s="130"/>
      <c r="M180" s="128"/>
      <c r="N180" s="75"/>
      <c r="O180" s="152"/>
      <c r="P180" s="6"/>
      <c r="Q180" s="16"/>
      <c r="R180" s="9"/>
      <c r="S180" s="110"/>
      <c r="T180" s="103"/>
      <c r="U180" s="103"/>
      <c r="V180" s="104"/>
      <c r="W180" s="29"/>
    </row>
    <row r="181" spans="1:23" x14ac:dyDescent="0.3">
      <c r="A181" s="49"/>
      <c r="B181" s="49"/>
      <c r="C181" s="49"/>
      <c r="D181" s="94"/>
      <c r="E181" s="85"/>
      <c r="F181" s="86"/>
      <c r="G181" s="85"/>
      <c r="H181" s="86"/>
      <c r="I181" s="87"/>
      <c r="J181" s="123"/>
      <c r="K181" s="140"/>
      <c r="L181" s="130"/>
      <c r="M181" s="128"/>
      <c r="N181" s="75"/>
      <c r="O181" s="152"/>
      <c r="P181" s="6"/>
      <c r="Q181" s="16"/>
      <c r="R181" s="106"/>
      <c r="S181" s="13"/>
      <c r="T181" s="103"/>
      <c r="U181" s="103"/>
      <c r="V181" s="104"/>
      <c r="W181" s="29"/>
    </row>
    <row r="182" spans="1:23" x14ac:dyDescent="0.3">
      <c r="A182" s="49"/>
      <c r="B182" s="49"/>
      <c r="C182" s="49"/>
      <c r="D182" s="94"/>
      <c r="E182" s="85"/>
      <c r="F182" s="86"/>
      <c r="G182" s="88"/>
      <c r="H182" s="87"/>
      <c r="I182" s="87"/>
      <c r="J182" s="123"/>
      <c r="K182" s="140"/>
      <c r="L182" s="130"/>
      <c r="M182" s="128"/>
      <c r="N182" s="75"/>
      <c r="O182" s="152"/>
      <c r="P182" s="6"/>
      <c r="Q182" s="165"/>
      <c r="R182" s="106"/>
      <c r="S182" s="13"/>
      <c r="T182" s="103"/>
      <c r="U182" s="103"/>
      <c r="V182" s="104"/>
      <c r="W182" s="29"/>
    </row>
    <row r="183" spans="1:23" x14ac:dyDescent="0.3">
      <c r="A183" s="49"/>
      <c r="B183" s="49"/>
      <c r="C183" s="49"/>
      <c r="D183" s="94"/>
      <c r="E183" s="85"/>
      <c r="F183" s="86"/>
      <c r="G183" s="88"/>
      <c r="H183" s="87"/>
      <c r="I183" s="87"/>
      <c r="J183" s="123"/>
      <c r="K183" s="140"/>
      <c r="L183" s="130"/>
      <c r="M183" s="128"/>
      <c r="N183" s="75"/>
      <c r="O183" s="152"/>
      <c r="P183" s="6"/>
      <c r="Q183" s="16"/>
      <c r="R183" s="9"/>
      <c r="S183" s="13"/>
      <c r="T183" s="103"/>
      <c r="U183" s="103"/>
      <c r="V183" s="104"/>
      <c r="W183" s="29"/>
    </row>
    <row r="184" spans="1:23" x14ac:dyDescent="0.3">
      <c r="A184" s="49"/>
      <c r="B184" s="49"/>
      <c r="C184" s="49"/>
      <c r="D184" s="94"/>
      <c r="E184" s="85"/>
      <c r="F184" s="86"/>
      <c r="G184" s="88"/>
      <c r="H184" s="87"/>
      <c r="I184" s="87"/>
      <c r="J184" s="123"/>
      <c r="K184" s="140"/>
      <c r="L184" s="130"/>
      <c r="M184" s="124"/>
      <c r="N184" s="74"/>
      <c r="O184" s="194"/>
      <c r="P184" s="6"/>
      <c r="Q184" s="16"/>
      <c r="R184" s="8"/>
      <c r="S184" s="13"/>
      <c r="T184" s="103"/>
      <c r="U184" s="103"/>
      <c r="V184" s="104"/>
      <c r="W184" s="29"/>
    </row>
    <row r="185" spans="1:23" x14ac:dyDescent="0.3">
      <c r="A185" s="49"/>
      <c r="B185" s="49"/>
      <c r="C185" s="49"/>
      <c r="D185" s="94"/>
      <c r="E185" s="89"/>
      <c r="F185" s="84"/>
      <c r="G185" s="89"/>
      <c r="H185" s="84"/>
      <c r="I185" s="84"/>
      <c r="J185" s="119"/>
      <c r="K185" s="140"/>
      <c r="L185" s="131"/>
      <c r="M185" s="129"/>
      <c r="N185" s="76"/>
      <c r="O185" s="144"/>
      <c r="P185" s="6"/>
      <c r="Q185" s="16"/>
      <c r="R185" s="106"/>
      <c r="S185" s="110"/>
      <c r="T185" s="103"/>
      <c r="U185" s="103"/>
      <c r="V185" s="104"/>
      <c r="W185" s="29"/>
    </row>
    <row r="186" spans="1:23" x14ac:dyDescent="0.3">
      <c r="A186" s="49"/>
      <c r="B186" s="49"/>
      <c r="C186" s="49"/>
      <c r="D186" s="94"/>
      <c r="E186" s="85"/>
      <c r="F186" s="86"/>
      <c r="G186" s="88"/>
      <c r="H186" s="87"/>
      <c r="I186" s="87"/>
      <c r="J186" s="123"/>
      <c r="K186" s="140"/>
      <c r="L186" s="130"/>
      <c r="M186" s="124"/>
      <c r="N186" s="74"/>
      <c r="O186" s="194"/>
      <c r="P186" s="6"/>
      <c r="Q186" s="16"/>
      <c r="R186" s="8"/>
      <c r="S186" s="13"/>
      <c r="T186" s="103"/>
      <c r="U186" s="103"/>
      <c r="V186" s="104"/>
      <c r="W186" s="29"/>
    </row>
    <row r="187" spans="1:23" x14ac:dyDescent="0.3">
      <c r="A187" s="49"/>
      <c r="B187" s="49"/>
      <c r="C187" s="49"/>
      <c r="D187" s="94"/>
      <c r="E187" s="89"/>
      <c r="F187" s="84"/>
      <c r="G187" s="88"/>
      <c r="H187" s="87"/>
      <c r="I187" s="87"/>
      <c r="J187" s="123"/>
      <c r="K187" s="140"/>
      <c r="L187" s="130"/>
      <c r="M187" s="124"/>
      <c r="N187" s="74"/>
      <c r="O187" s="194"/>
      <c r="P187" s="6"/>
      <c r="Q187" s="16"/>
      <c r="R187" s="106"/>
      <c r="S187" s="110"/>
      <c r="T187" s="103"/>
      <c r="U187" s="103"/>
      <c r="V187" s="104"/>
      <c r="W187" s="29"/>
    </row>
    <row r="188" spans="1:23" x14ac:dyDescent="0.3">
      <c r="A188" s="49"/>
      <c r="B188" s="49"/>
      <c r="C188" s="49"/>
      <c r="D188" s="94"/>
      <c r="E188" s="89"/>
      <c r="F188" s="84"/>
      <c r="G188" s="88"/>
      <c r="H188" s="87"/>
      <c r="I188" s="87"/>
      <c r="J188" s="123"/>
      <c r="K188" s="140"/>
      <c r="L188" s="130"/>
      <c r="M188" s="129"/>
      <c r="N188" s="76"/>
      <c r="O188" s="144"/>
      <c r="P188" s="6"/>
      <c r="Q188" s="165"/>
      <c r="R188" s="9"/>
      <c r="S188" s="110"/>
      <c r="T188" s="103"/>
      <c r="U188" s="103"/>
      <c r="V188" s="104"/>
      <c r="W188" s="29"/>
    </row>
    <row r="189" spans="1:23" x14ac:dyDescent="0.3">
      <c r="A189" s="49"/>
      <c r="B189" s="49"/>
      <c r="C189" s="49"/>
      <c r="D189" s="94"/>
      <c r="E189" s="85"/>
      <c r="F189" s="86"/>
      <c r="G189" s="88"/>
      <c r="H189" s="87"/>
      <c r="I189" s="87"/>
      <c r="J189" s="123"/>
      <c r="K189" s="140"/>
      <c r="L189" s="130"/>
      <c r="M189" s="124"/>
      <c r="N189" s="74"/>
      <c r="O189" s="194"/>
      <c r="P189" s="6"/>
      <c r="Q189" s="16"/>
      <c r="R189" s="9"/>
      <c r="S189" s="110"/>
      <c r="T189" s="103"/>
      <c r="U189" s="103"/>
      <c r="V189" s="104"/>
      <c r="W189" s="29"/>
    </row>
    <row r="190" spans="1:23" x14ac:dyDescent="0.3">
      <c r="A190" s="49"/>
      <c r="B190" s="49"/>
      <c r="C190" s="49"/>
      <c r="D190" s="94"/>
      <c r="E190" s="89"/>
      <c r="F190" s="84"/>
      <c r="G190" s="89"/>
      <c r="H190" s="84"/>
      <c r="I190" s="84"/>
      <c r="J190" s="119"/>
      <c r="K190" s="140"/>
      <c r="L190" s="131"/>
      <c r="M190" s="129"/>
      <c r="N190" s="76"/>
      <c r="O190" s="144"/>
      <c r="P190" s="6"/>
      <c r="Q190" s="16"/>
      <c r="R190" s="8"/>
      <c r="S190" s="110"/>
      <c r="T190" s="103"/>
      <c r="U190" s="103"/>
      <c r="V190" s="104"/>
      <c r="W190" s="29"/>
    </row>
    <row r="191" spans="1:23" x14ac:dyDescent="0.3">
      <c r="A191" s="49"/>
      <c r="B191" s="49"/>
      <c r="C191" s="49"/>
      <c r="D191" s="94"/>
      <c r="E191" s="85"/>
      <c r="F191" s="86"/>
      <c r="G191" s="88"/>
      <c r="H191" s="87"/>
      <c r="I191" s="87"/>
      <c r="J191" s="123"/>
      <c r="K191" s="140"/>
      <c r="L191" s="130"/>
      <c r="M191" s="129"/>
      <c r="N191" s="76"/>
      <c r="O191" s="144"/>
      <c r="P191" s="6"/>
      <c r="Q191" s="165"/>
      <c r="R191" s="106"/>
      <c r="S191" s="110"/>
      <c r="T191" s="103"/>
      <c r="U191" s="103"/>
      <c r="V191" s="104"/>
      <c r="W191" s="29"/>
    </row>
    <row r="192" spans="1:23" x14ac:dyDescent="0.3">
      <c r="A192" s="49"/>
      <c r="B192" s="49"/>
      <c r="C192" s="49"/>
      <c r="D192" s="94"/>
      <c r="E192" s="85"/>
      <c r="F192" s="86"/>
      <c r="G192" s="85"/>
      <c r="H192" s="86"/>
      <c r="I192" s="85"/>
      <c r="J192" s="125"/>
      <c r="K192" s="140"/>
      <c r="L192" s="132"/>
      <c r="M192" s="129"/>
      <c r="N192" s="76"/>
      <c r="O192" s="144"/>
      <c r="P192" s="6"/>
      <c r="Q192" s="165"/>
      <c r="R192" s="9"/>
      <c r="S192" s="110"/>
      <c r="T192" s="103"/>
      <c r="U192" s="103"/>
      <c r="V192" s="104"/>
      <c r="W192" s="29"/>
    </row>
    <row r="193" spans="1:23" x14ac:dyDescent="0.3">
      <c r="A193" s="49"/>
      <c r="B193" s="49"/>
      <c r="C193" s="49"/>
      <c r="D193" s="94"/>
      <c r="E193" s="85"/>
      <c r="F193" s="86"/>
      <c r="G193" s="88"/>
      <c r="H193" s="87"/>
      <c r="I193" s="87"/>
      <c r="J193" s="123"/>
      <c r="K193" s="140"/>
      <c r="L193" s="130"/>
      <c r="M193" s="129"/>
      <c r="N193" s="76"/>
      <c r="O193" s="144"/>
      <c r="P193" s="6"/>
      <c r="Q193" s="165"/>
      <c r="R193" s="106"/>
      <c r="S193" s="110"/>
      <c r="T193" s="103"/>
      <c r="U193" s="103"/>
      <c r="V193" s="104"/>
      <c r="W193" s="29"/>
    </row>
    <row r="194" spans="1:23" x14ac:dyDescent="0.3">
      <c r="A194" s="49"/>
      <c r="B194" s="49"/>
      <c r="C194" s="49"/>
      <c r="D194" s="94"/>
      <c r="E194" s="85"/>
      <c r="F194" s="86"/>
      <c r="G194" s="88"/>
      <c r="H194" s="87"/>
      <c r="I194" s="87"/>
      <c r="J194" s="123"/>
      <c r="K194" s="140"/>
      <c r="L194" s="130"/>
      <c r="M194" s="129"/>
      <c r="N194" s="76"/>
      <c r="O194" s="144"/>
      <c r="P194" s="6"/>
      <c r="Q194" s="165"/>
      <c r="R194" s="106"/>
      <c r="S194" s="110"/>
      <c r="T194" s="103"/>
      <c r="U194" s="103"/>
      <c r="V194" s="104"/>
      <c r="W194" s="29"/>
    </row>
    <row r="195" spans="1:23" x14ac:dyDescent="0.3">
      <c r="A195" s="49"/>
      <c r="B195" s="49"/>
      <c r="C195" s="49"/>
      <c r="D195" s="94"/>
      <c r="E195" s="85"/>
      <c r="F195" s="86"/>
      <c r="G195" s="88"/>
      <c r="H195" s="87"/>
      <c r="I195" s="87"/>
      <c r="J195" s="123"/>
      <c r="K195" s="140"/>
      <c r="L195" s="130"/>
      <c r="M195" s="124"/>
      <c r="N195" s="74"/>
      <c r="O195" s="194"/>
      <c r="P195" s="6"/>
      <c r="Q195" s="16"/>
      <c r="R195" s="106"/>
      <c r="S195" s="110"/>
      <c r="T195" s="103"/>
      <c r="U195" s="103"/>
      <c r="V195" s="104"/>
      <c r="W195" s="29"/>
    </row>
    <row r="196" spans="1:23" x14ac:dyDescent="0.3">
      <c r="A196" s="49"/>
      <c r="B196" s="49"/>
      <c r="C196" s="49"/>
      <c r="D196" s="94"/>
      <c r="E196" s="89"/>
      <c r="F196" s="84"/>
      <c r="G196" s="88"/>
      <c r="H196" s="87"/>
      <c r="I196" s="87"/>
      <c r="J196" s="123"/>
      <c r="K196" s="140"/>
      <c r="L196" s="130"/>
      <c r="M196" s="129"/>
      <c r="N196" s="76"/>
      <c r="O196" s="144"/>
      <c r="P196" s="6"/>
      <c r="Q196" s="16"/>
      <c r="R196" s="8"/>
      <c r="S196" s="110"/>
      <c r="T196" s="103"/>
      <c r="U196" s="103"/>
      <c r="V196" s="104"/>
      <c r="W196" s="29"/>
    </row>
    <row r="197" spans="1:23" x14ac:dyDescent="0.3">
      <c r="A197" s="49"/>
      <c r="B197" s="49"/>
      <c r="C197" s="49"/>
      <c r="D197" s="94"/>
      <c r="E197" s="85"/>
      <c r="F197" s="86"/>
      <c r="G197" s="88"/>
      <c r="H197" s="87"/>
      <c r="I197" s="87"/>
      <c r="J197" s="123"/>
      <c r="K197" s="140"/>
      <c r="L197" s="130"/>
      <c r="M197" s="129"/>
      <c r="N197" s="76"/>
      <c r="O197" s="144"/>
      <c r="P197" s="6"/>
      <c r="Q197" s="16"/>
      <c r="R197" s="8"/>
      <c r="S197" s="110"/>
      <c r="T197" s="103"/>
      <c r="U197" s="103"/>
      <c r="V197" s="104"/>
      <c r="W197" s="29"/>
    </row>
    <row r="198" spans="1:23" x14ac:dyDescent="0.3">
      <c r="A198" s="49"/>
      <c r="B198" s="49"/>
      <c r="C198" s="49"/>
      <c r="D198" s="94"/>
      <c r="E198" s="85"/>
      <c r="F198" s="86"/>
      <c r="G198" s="85"/>
      <c r="H198" s="86"/>
      <c r="I198" s="85"/>
      <c r="J198" s="125"/>
      <c r="K198" s="140"/>
      <c r="L198" s="132"/>
      <c r="M198" s="129"/>
      <c r="N198" s="76"/>
      <c r="O198" s="144"/>
      <c r="P198" s="6"/>
      <c r="Q198" s="16"/>
      <c r="R198" s="8"/>
      <c r="S198" s="110"/>
      <c r="T198" s="103"/>
      <c r="U198" s="103"/>
      <c r="V198" s="104"/>
      <c r="W198" s="29"/>
    </row>
    <row r="199" spans="1:23" x14ac:dyDescent="0.3">
      <c r="A199" s="49"/>
      <c r="B199" s="49"/>
      <c r="C199" s="49"/>
      <c r="D199" s="94"/>
      <c r="E199" s="85"/>
      <c r="F199" s="86"/>
      <c r="G199" s="88"/>
      <c r="H199" s="87"/>
      <c r="I199" s="87"/>
      <c r="J199" s="123"/>
      <c r="K199" s="140"/>
      <c r="L199" s="130"/>
      <c r="M199" s="124"/>
      <c r="N199" s="74"/>
      <c r="O199" s="194"/>
      <c r="P199" s="6"/>
      <c r="Q199" s="16"/>
      <c r="R199" s="106"/>
      <c r="S199" s="110"/>
      <c r="T199" s="103"/>
      <c r="U199" s="103"/>
      <c r="V199" s="104"/>
      <c r="W199" s="29"/>
    </row>
    <row r="200" spans="1:23" x14ac:dyDescent="0.3">
      <c r="A200" s="49"/>
      <c r="B200" s="49"/>
      <c r="C200" s="49"/>
      <c r="D200" s="94"/>
      <c r="E200" s="89"/>
      <c r="F200" s="84"/>
      <c r="G200" s="88"/>
      <c r="H200" s="87"/>
      <c r="I200" s="87"/>
      <c r="J200" s="123"/>
      <c r="K200" s="140"/>
      <c r="L200" s="130"/>
      <c r="M200" s="124"/>
      <c r="N200" s="74"/>
      <c r="O200" s="194"/>
      <c r="P200" s="6"/>
      <c r="Q200" s="16"/>
      <c r="R200" s="106"/>
      <c r="S200" s="110"/>
      <c r="T200" s="103"/>
      <c r="U200" s="103"/>
      <c r="V200" s="104"/>
      <c r="W200" s="29"/>
    </row>
    <row r="201" spans="1:23" x14ac:dyDescent="0.3">
      <c r="A201" s="49"/>
      <c r="B201" s="49"/>
      <c r="C201" s="49"/>
      <c r="D201" s="94"/>
      <c r="E201" s="89"/>
      <c r="F201" s="84"/>
      <c r="G201" s="88"/>
      <c r="H201" s="87"/>
      <c r="I201" s="87"/>
      <c r="J201" s="123"/>
      <c r="K201" s="140"/>
      <c r="L201" s="130"/>
      <c r="M201" s="124"/>
      <c r="N201" s="74"/>
      <c r="O201" s="194"/>
      <c r="P201" s="6"/>
      <c r="Q201" s="16"/>
      <c r="R201" s="8"/>
      <c r="S201" s="13"/>
      <c r="T201" s="103"/>
      <c r="U201" s="103"/>
      <c r="V201" s="104"/>
      <c r="W201" s="29"/>
    </row>
    <row r="202" spans="1:23" x14ac:dyDescent="0.3">
      <c r="A202" s="49"/>
      <c r="B202" s="49"/>
      <c r="C202" s="49"/>
      <c r="D202" s="94"/>
      <c r="E202" s="89"/>
      <c r="F202" s="84"/>
      <c r="G202" s="88"/>
      <c r="H202" s="87"/>
      <c r="I202" s="87"/>
      <c r="J202" s="123"/>
      <c r="K202" s="140"/>
      <c r="L202" s="130"/>
      <c r="M202" s="129"/>
      <c r="N202" s="76"/>
      <c r="O202" s="144"/>
      <c r="P202" s="6"/>
      <c r="Q202" s="16"/>
      <c r="R202" s="8"/>
      <c r="S202" s="110"/>
      <c r="T202" s="103"/>
      <c r="U202" s="103"/>
      <c r="V202" s="104"/>
      <c r="W202" s="29"/>
    </row>
    <row r="203" spans="1:23" x14ac:dyDescent="0.3">
      <c r="A203" s="49"/>
      <c r="B203" s="49"/>
      <c r="C203" s="49"/>
      <c r="D203" s="94"/>
      <c r="E203" s="85"/>
      <c r="F203" s="86"/>
      <c r="G203" s="88"/>
      <c r="H203" s="87"/>
      <c r="I203" s="87"/>
      <c r="J203" s="123"/>
      <c r="K203" s="140"/>
      <c r="L203" s="130"/>
      <c r="M203" s="124"/>
      <c r="N203" s="74"/>
      <c r="O203" s="194"/>
      <c r="P203" s="6"/>
      <c r="Q203" s="16"/>
      <c r="R203" s="106"/>
      <c r="S203" s="110"/>
      <c r="T203" s="103"/>
      <c r="U203" s="103"/>
      <c r="V203" s="104"/>
      <c r="W203" s="29"/>
    </row>
    <row r="204" spans="1:23" x14ac:dyDescent="0.3">
      <c r="A204" s="49"/>
      <c r="B204" s="49"/>
      <c r="C204" s="49"/>
      <c r="D204" s="94"/>
      <c r="E204" s="89"/>
      <c r="F204" s="84"/>
      <c r="G204" s="88"/>
      <c r="H204" s="87"/>
      <c r="I204" s="87"/>
      <c r="J204" s="123"/>
      <c r="K204" s="140"/>
      <c r="L204" s="130"/>
      <c r="M204" s="129"/>
      <c r="N204" s="76"/>
      <c r="O204" s="144"/>
      <c r="P204" s="6"/>
      <c r="Q204" s="16"/>
      <c r="R204" s="106"/>
      <c r="S204" s="110"/>
      <c r="T204" s="103"/>
      <c r="U204" s="103"/>
      <c r="V204" s="104"/>
      <c r="W204" s="29"/>
    </row>
    <row r="205" spans="1:23" x14ac:dyDescent="0.3">
      <c r="A205" s="49"/>
      <c r="B205" s="49"/>
      <c r="C205" s="49"/>
      <c r="D205" s="94"/>
      <c r="E205" s="85"/>
      <c r="F205" s="86"/>
      <c r="G205" s="88"/>
      <c r="H205" s="87"/>
      <c r="I205" s="87"/>
      <c r="J205" s="123"/>
      <c r="K205" s="140"/>
      <c r="L205" s="130"/>
      <c r="M205" s="124"/>
      <c r="N205" s="74"/>
      <c r="O205" s="194"/>
      <c r="P205" s="6"/>
      <c r="Q205" s="16"/>
      <c r="R205" s="106"/>
      <c r="S205" s="110"/>
      <c r="T205" s="103"/>
      <c r="U205" s="103"/>
      <c r="V205" s="104"/>
      <c r="W205" s="29"/>
    </row>
    <row r="206" spans="1:23" x14ac:dyDescent="0.3">
      <c r="A206" s="49"/>
      <c r="B206" s="49"/>
      <c r="C206" s="49"/>
      <c r="D206" s="94"/>
      <c r="E206" s="89"/>
      <c r="F206" s="84"/>
      <c r="G206" s="88"/>
      <c r="H206" s="87"/>
      <c r="I206" s="87"/>
      <c r="J206" s="123"/>
      <c r="K206" s="140"/>
      <c r="L206" s="130"/>
      <c r="M206" s="128"/>
      <c r="N206" s="75"/>
      <c r="O206" s="152"/>
      <c r="P206" s="6"/>
      <c r="Q206" s="16"/>
      <c r="R206" s="9"/>
      <c r="S206" s="110"/>
      <c r="T206" s="103"/>
      <c r="U206" s="103"/>
      <c r="V206" s="104"/>
      <c r="W206" s="29"/>
    </row>
    <row r="207" spans="1:23" x14ac:dyDescent="0.3">
      <c r="A207" s="49"/>
      <c r="B207" s="49"/>
      <c r="C207" s="49"/>
      <c r="D207" s="94"/>
      <c r="E207" s="85"/>
      <c r="F207" s="86"/>
      <c r="G207" s="88"/>
      <c r="H207" s="87"/>
      <c r="I207" s="87"/>
      <c r="J207" s="123"/>
      <c r="K207" s="140"/>
      <c r="L207" s="130"/>
      <c r="M207" s="128"/>
      <c r="N207" s="75"/>
      <c r="O207" s="152"/>
      <c r="P207" s="6"/>
      <c r="Q207" s="165"/>
      <c r="R207" s="8"/>
      <c r="S207" s="110"/>
      <c r="T207" s="103"/>
      <c r="U207" s="103"/>
      <c r="V207" s="104"/>
      <c r="W207" s="29"/>
    </row>
    <row r="208" spans="1:23" x14ac:dyDescent="0.3">
      <c r="A208" s="49"/>
      <c r="B208" s="49"/>
      <c r="C208" s="49"/>
      <c r="D208" s="94"/>
      <c r="E208" s="85"/>
      <c r="F208" s="86"/>
      <c r="G208" s="88"/>
      <c r="H208" s="87"/>
      <c r="I208" s="87"/>
      <c r="J208" s="123"/>
      <c r="K208" s="140"/>
      <c r="L208" s="130"/>
      <c r="M208" s="128"/>
      <c r="N208" s="75"/>
      <c r="O208" s="152"/>
      <c r="P208" s="6"/>
      <c r="Q208" s="165"/>
      <c r="R208" s="8"/>
      <c r="S208" s="110"/>
      <c r="T208" s="103"/>
      <c r="U208" s="103"/>
      <c r="V208" s="104"/>
      <c r="W208" s="29"/>
    </row>
    <row r="209" spans="1:23" x14ac:dyDescent="0.3">
      <c r="A209" s="49"/>
      <c r="B209" s="49"/>
      <c r="C209" s="49"/>
      <c r="D209" s="94"/>
      <c r="E209" s="85"/>
      <c r="F209" s="86"/>
      <c r="G209" s="88"/>
      <c r="H209" s="87"/>
      <c r="I209" s="87"/>
      <c r="J209" s="123"/>
      <c r="K209" s="140"/>
      <c r="L209" s="130"/>
      <c r="M209" s="124"/>
      <c r="N209" s="74"/>
      <c r="O209" s="194"/>
      <c r="P209" s="6"/>
      <c r="Q209" s="16"/>
      <c r="R209" s="106"/>
      <c r="S209" s="110"/>
      <c r="T209" s="103"/>
      <c r="U209" s="103"/>
      <c r="V209" s="104"/>
      <c r="W209" s="29"/>
    </row>
    <row r="210" spans="1:23" x14ac:dyDescent="0.3">
      <c r="A210" s="49"/>
      <c r="B210" s="49"/>
      <c r="C210" s="49"/>
      <c r="D210" s="94"/>
      <c r="G210" s="88"/>
      <c r="H210" s="87"/>
      <c r="I210" s="87"/>
      <c r="J210" s="123"/>
      <c r="K210" s="140"/>
      <c r="L210" s="130"/>
      <c r="M210" s="129"/>
      <c r="N210" s="76"/>
      <c r="O210" s="144"/>
      <c r="P210" s="6"/>
      <c r="Q210" s="165"/>
      <c r="R210" s="106"/>
      <c r="S210" s="110"/>
      <c r="T210" s="103"/>
      <c r="U210" s="103"/>
      <c r="V210" s="104"/>
      <c r="W210" s="29"/>
    </row>
    <row r="211" spans="1:23" x14ac:dyDescent="0.3">
      <c r="A211" s="49"/>
      <c r="B211" s="49"/>
      <c r="C211" s="49"/>
      <c r="D211" s="94"/>
      <c r="E211" s="85"/>
      <c r="F211" s="86"/>
      <c r="G211" s="88"/>
      <c r="H211" s="87"/>
      <c r="I211" s="87"/>
      <c r="J211" s="123"/>
      <c r="K211" s="140"/>
      <c r="L211" s="130"/>
      <c r="M211" s="129"/>
      <c r="N211" s="76"/>
      <c r="O211" s="144"/>
      <c r="P211" s="6"/>
      <c r="Q211" s="165"/>
      <c r="R211" s="8"/>
      <c r="S211" s="110"/>
      <c r="T211" s="103"/>
      <c r="U211" s="103"/>
      <c r="V211" s="104"/>
      <c r="W211" s="29"/>
    </row>
    <row r="212" spans="1:23" x14ac:dyDescent="0.3">
      <c r="A212" s="49"/>
      <c r="B212" s="49"/>
      <c r="C212" s="49"/>
      <c r="D212" s="94"/>
      <c r="E212" s="85"/>
      <c r="F212" s="86"/>
      <c r="G212" s="89"/>
      <c r="H212" s="84"/>
      <c r="I212" s="84"/>
      <c r="J212" s="119"/>
      <c r="K212" s="140"/>
      <c r="L212" s="131"/>
      <c r="M212" s="129"/>
      <c r="N212" s="76"/>
      <c r="O212" s="144"/>
      <c r="P212" s="6"/>
      <c r="Q212" s="16"/>
      <c r="R212" s="9"/>
      <c r="S212" s="110"/>
      <c r="T212" s="103"/>
      <c r="U212" s="103"/>
      <c r="V212" s="104"/>
      <c r="W212" s="29"/>
    </row>
    <row r="213" spans="1:23" x14ac:dyDescent="0.3">
      <c r="A213" s="49"/>
      <c r="B213" s="49"/>
      <c r="C213" s="49"/>
      <c r="D213" s="94"/>
      <c r="E213" s="85"/>
      <c r="F213" s="86"/>
      <c r="G213" s="88"/>
      <c r="H213" s="87"/>
      <c r="I213" s="87"/>
      <c r="J213" s="123"/>
      <c r="K213" s="140"/>
      <c r="L213" s="130"/>
      <c r="M213" s="124"/>
      <c r="N213" s="74"/>
      <c r="O213" s="194"/>
      <c r="P213" s="6"/>
      <c r="Q213" s="16"/>
      <c r="R213" s="106"/>
      <c r="S213" s="110"/>
      <c r="T213" s="103"/>
      <c r="U213" s="103"/>
      <c r="V213" s="104"/>
      <c r="W213" s="29"/>
    </row>
    <row r="214" spans="1:23" x14ac:dyDescent="0.3">
      <c r="A214" s="49"/>
      <c r="B214" s="49"/>
      <c r="C214" s="49"/>
      <c r="D214" s="94"/>
      <c r="E214" s="89"/>
      <c r="F214" s="84"/>
      <c r="G214" s="88"/>
      <c r="H214" s="87"/>
      <c r="I214" s="87"/>
      <c r="J214" s="123"/>
      <c r="K214" s="140"/>
      <c r="L214" s="130"/>
      <c r="M214" s="124"/>
      <c r="N214" s="74"/>
      <c r="O214" s="194"/>
      <c r="P214" s="6"/>
      <c r="Q214" s="16"/>
      <c r="R214" s="8"/>
      <c r="S214" s="110"/>
      <c r="T214" s="103"/>
      <c r="U214" s="103"/>
      <c r="V214" s="104"/>
      <c r="W214" s="29"/>
    </row>
    <row r="215" spans="1:23" x14ac:dyDescent="0.3">
      <c r="A215" s="49"/>
      <c r="B215" s="49"/>
      <c r="C215" s="49"/>
      <c r="D215" s="94"/>
      <c r="E215" s="85"/>
      <c r="F215" s="86"/>
      <c r="G215" s="88"/>
      <c r="H215" s="87"/>
      <c r="I215" s="87"/>
      <c r="J215" s="123"/>
      <c r="K215" s="140"/>
      <c r="L215" s="130"/>
      <c r="M215" s="124"/>
      <c r="N215" s="74"/>
      <c r="O215" s="194"/>
      <c r="P215" s="6"/>
      <c r="Q215" s="165"/>
      <c r="R215" s="9"/>
      <c r="S215" s="110"/>
      <c r="T215" s="103"/>
      <c r="U215" s="103"/>
      <c r="V215" s="104"/>
      <c r="W215" s="29"/>
    </row>
    <row r="216" spans="1:23" x14ac:dyDescent="0.3">
      <c r="A216" s="49"/>
      <c r="B216" s="49"/>
      <c r="C216" s="49"/>
      <c r="D216" s="94"/>
      <c r="E216" s="85"/>
      <c r="F216" s="86"/>
      <c r="G216" s="88"/>
      <c r="H216" s="87"/>
      <c r="I216" s="87"/>
      <c r="J216" s="123"/>
      <c r="K216" s="140"/>
      <c r="L216" s="130"/>
      <c r="M216" s="129"/>
      <c r="N216" s="76"/>
      <c r="O216" s="144"/>
      <c r="P216" s="6"/>
      <c r="Q216" s="16"/>
      <c r="R216" s="9"/>
      <c r="S216" s="13"/>
      <c r="T216" s="103"/>
      <c r="U216" s="103"/>
      <c r="V216" s="104"/>
      <c r="W216" s="29"/>
    </row>
    <row r="217" spans="1:23" x14ac:dyDescent="0.3">
      <c r="A217" s="49"/>
      <c r="B217" s="49"/>
      <c r="C217" s="49"/>
      <c r="D217" s="94"/>
      <c r="E217" s="85"/>
      <c r="F217" s="86"/>
      <c r="G217" s="88"/>
      <c r="H217" s="87"/>
      <c r="I217" s="87"/>
      <c r="J217" s="123"/>
      <c r="K217" s="140"/>
      <c r="L217" s="130"/>
      <c r="M217" s="129"/>
      <c r="N217" s="76"/>
      <c r="O217" s="144"/>
      <c r="P217" s="6"/>
      <c r="Q217" s="16"/>
      <c r="R217" s="9"/>
      <c r="S217" s="110"/>
      <c r="T217" s="103"/>
      <c r="U217" s="103"/>
      <c r="V217" s="104"/>
      <c r="W217" s="29"/>
    </row>
    <row r="218" spans="1:23" x14ac:dyDescent="0.3">
      <c r="A218" s="49"/>
      <c r="B218" s="49"/>
      <c r="C218" s="49"/>
      <c r="D218" s="94"/>
      <c r="E218" s="85"/>
      <c r="F218" s="86"/>
      <c r="G218" s="88"/>
      <c r="H218" s="87"/>
      <c r="I218" s="87"/>
      <c r="J218" s="123"/>
      <c r="K218" s="140"/>
      <c r="L218" s="130"/>
      <c r="M218" s="124"/>
      <c r="N218" s="74"/>
      <c r="O218" s="194"/>
      <c r="P218" s="6"/>
      <c r="Q218" s="16"/>
      <c r="R218" s="8"/>
      <c r="S218" s="110"/>
      <c r="T218" s="103"/>
      <c r="U218" s="103"/>
      <c r="V218" s="104"/>
      <c r="W218" s="29"/>
    </row>
    <row r="219" spans="1:23" x14ac:dyDescent="0.3">
      <c r="A219" s="49"/>
      <c r="B219" s="49"/>
      <c r="C219" s="49"/>
      <c r="D219" s="94"/>
      <c r="E219" s="89"/>
      <c r="F219" s="84"/>
      <c r="G219" s="88"/>
      <c r="H219" s="87"/>
      <c r="I219" s="87"/>
      <c r="J219" s="123"/>
      <c r="K219" s="140"/>
      <c r="L219" s="130"/>
      <c r="M219" s="124"/>
      <c r="N219" s="74"/>
      <c r="O219" s="194"/>
      <c r="P219" s="6"/>
      <c r="Q219" s="16"/>
      <c r="R219" s="9"/>
      <c r="S219" s="110"/>
      <c r="T219" s="103"/>
      <c r="U219" s="103"/>
      <c r="V219" s="104"/>
      <c r="W219" s="29"/>
    </row>
    <row r="220" spans="1:23" x14ac:dyDescent="0.3">
      <c r="A220" s="49"/>
      <c r="B220" s="49"/>
      <c r="C220" s="49"/>
      <c r="D220" s="94"/>
      <c r="E220" s="89"/>
      <c r="F220" s="84"/>
      <c r="G220" s="88"/>
      <c r="H220" s="87"/>
      <c r="I220" s="87"/>
      <c r="J220" s="123"/>
      <c r="K220" s="140"/>
      <c r="L220" s="130"/>
      <c r="M220" s="124"/>
      <c r="N220" s="74"/>
      <c r="O220" s="194"/>
      <c r="P220" s="6"/>
      <c r="Q220" s="16"/>
      <c r="R220" s="106"/>
      <c r="S220" s="110"/>
      <c r="T220" s="103"/>
      <c r="U220" s="103"/>
      <c r="V220" s="104"/>
      <c r="W220" s="29"/>
    </row>
    <row r="221" spans="1:23" x14ac:dyDescent="0.3">
      <c r="A221" s="49"/>
      <c r="B221" s="49"/>
      <c r="C221" s="49"/>
      <c r="D221" s="94"/>
      <c r="E221" s="89"/>
      <c r="F221" s="84"/>
      <c r="G221" s="88"/>
      <c r="H221" s="87"/>
      <c r="I221" s="87"/>
      <c r="J221" s="123"/>
      <c r="K221" s="140"/>
      <c r="L221" s="130"/>
      <c r="M221" s="129"/>
      <c r="N221" s="76"/>
      <c r="O221" s="144"/>
      <c r="P221" s="6"/>
      <c r="Q221" s="16"/>
      <c r="R221" s="8"/>
      <c r="S221" s="13"/>
      <c r="T221" s="103"/>
      <c r="U221" s="103"/>
      <c r="V221" s="104"/>
      <c r="W221" s="29"/>
    </row>
    <row r="222" spans="1:23" x14ac:dyDescent="0.3">
      <c r="A222" s="49"/>
      <c r="B222" s="49"/>
      <c r="C222" s="49"/>
      <c r="D222" s="94"/>
      <c r="E222" s="85"/>
      <c r="F222" s="86"/>
      <c r="G222" s="88"/>
      <c r="H222" s="87"/>
      <c r="I222" s="87"/>
      <c r="J222" s="123"/>
      <c r="K222" s="140"/>
      <c r="L222" s="130"/>
      <c r="M222" s="124"/>
      <c r="N222" s="74"/>
      <c r="O222" s="194"/>
      <c r="P222" s="6"/>
      <c r="Q222" s="16"/>
      <c r="R222" s="8"/>
      <c r="S222" s="110"/>
      <c r="T222" s="103"/>
      <c r="U222" s="103"/>
      <c r="V222" s="104"/>
      <c r="W222" s="29"/>
    </row>
    <row r="223" spans="1:23" x14ac:dyDescent="0.3">
      <c r="A223" s="49"/>
      <c r="B223" s="49"/>
      <c r="C223" s="49"/>
      <c r="D223" s="94"/>
      <c r="E223" s="85"/>
      <c r="F223" s="86"/>
      <c r="G223" s="88"/>
      <c r="H223" s="87"/>
      <c r="I223" s="87"/>
      <c r="J223" s="123"/>
      <c r="K223" s="140"/>
      <c r="L223" s="130"/>
      <c r="M223" s="129"/>
      <c r="N223" s="76"/>
      <c r="O223" s="144"/>
      <c r="P223" s="6"/>
      <c r="Q223" s="165"/>
      <c r="R223" s="8"/>
      <c r="S223" s="13"/>
      <c r="T223" s="103"/>
      <c r="U223" s="103"/>
      <c r="V223" s="104"/>
      <c r="W223" s="29"/>
    </row>
    <row r="224" spans="1:23" x14ac:dyDescent="0.3">
      <c r="A224" s="49"/>
      <c r="B224" s="49"/>
      <c r="C224" s="49"/>
      <c r="D224" s="94"/>
      <c r="E224" s="85"/>
      <c r="F224" s="86"/>
      <c r="G224" s="88"/>
      <c r="H224" s="87"/>
      <c r="I224" s="87"/>
      <c r="J224" s="123"/>
      <c r="K224" s="140"/>
      <c r="L224" s="130"/>
      <c r="M224" s="129"/>
      <c r="N224" s="76"/>
      <c r="O224" s="144"/>
      <c r="P224" s="6"/>
      <c r="Q224" s="165"/>
      <c r="R224" s="9"/>
      <c r="S224" s="110"/>
      <c r="T224" s="103"/>
      <c r="U224" s="103"/>
      <c r="V224" s="104"/>
      <c r="W224" s="29"/>
    </row>
    <row r="225" spans="1:23" x14ac:dyDescent="0.3">
      <c r="A225" s="49"/>
      <c r="B225" s="49"/>
      <c r="C225" s="49"/>
      <c r="D225" s="94"/>
      <c r="E225" s="85"/>
      <c r="F225" s="86"/>
      <c r="G225" s="85"/>
      <c r="H225" s="86"/>
      <c r="I225" s="87"/>
      <c r="J225" s="123"/>
      <c r="K225" s="140"/>
      <c r="L225" s="130"/>
      <c r="M225" s="129"/>
      <c r="N225" s="76"/>
      <c r="O225" s="144"/>
      <c r="P225" s="6"/>
      <c r="Q225" s="16"/>
      <c r="R225" s="9"/>
      <c r="S225" s="110"/>
      <c r="T225" s="103"/>
      <c r="U225" s="103"/>
      <c r="V225" s="104"/>
      <c r="W225" s="29"/>
    </row>
    <row r="226" spans="1:23" x14ac:dyDescent="0.3">
      <c r="A226" s="49"/>
      <c r="B226" s="49"/>
      <c r="C226" s="49"/>
      <c r="D226" s="94"/>
      <c r="E226" s="85"/>
      <c r="F226" s="86"/>
      <c r="G226" s="88"/>
      <c r="H226" s="87"/>
      <c r="I226" s="87"/>
      <c r="J226" s="123"/>
      <c r="K226" s="140"/>
      <c r="L226" s="130"/>
      <c r="M226" s="129"/>
      <c r="N226" s="76"/>
      <c r="O226" s="144"/>
      <c r="P226" s="6"/>
      <c r="Q226" s="165"/>
      <c r="R226" s="9"/>
      <c r="S226" s="110"/>
      <c r="T226" s="103"/>
      <c r="U226" s="103"/>
      <c r="V226" s="104"/>
      <c r="W226" s="29"/>
    </row>
    <row r="227" spans="1:23" x14ac:dyDescent="0.3">
      <c r="A227" s="49"/>
      <c r="B227" s="49"/>
      <c r="C227" s="49"/>
      <c r="D227" s="94"/>
      <c r="E227" s="85"/>
      <c r="F227" s="86"/>
      <c r="G227" s="88"/>
      <c r="H227" s="87"/>
      <c r="I227" s="87"/>
      <c r="J227" s="123"/>
      <c r="K227" s="140"/>
      <c r="L227" s="130"/>
      <c r="M227" s="129"/>
      <c r="N227" s="76"/>
      <c r="O227" s="144"/>
      <c r="P227" s="6"/>
      <c r="Q227" s="16"/>
      <c r="R227" s="9"/>
      <c r="S227" s="13"/>
      <c r="T227" s="103"/>
      <c r="U227" s="103"/>
      <c r="V227" s="104"/>
      <c r="W227" s="29"/>
    </row>
    <row r="228" spans="1:23" x14ac:dyDescent="0.3">
      <c r="A228" s="49"/>
      <c r="B228" s="49"/>
      <c r="C228" s="49"/>
      <c r="D228" s="94"/>
      <c r="E228" s="85"/>
      <c r="F228" s="86"/>
      <c r="G228" s="88"/>
      <c r="H228" s="87"/>
      <c r="I228" s="87"/>
      <c r="J228" s="123"/>
      <c r="K228" s="140"/>
      <c r="L228" s="130"/>
      <c r="M228" s="124"/>
      <c r="N228" s="74"/>
      <c r="O228" s="194"/>
      <c r="P228" s="6"/>
      <c r="Q228" s="16"/>
      <c r="R228" s="8"/>
      <c r="S228" s="110"/>
      <c r="T228" s="103"/>
      <c r="U228" s="103"/>
      <c r="V228" s="104"/>
      <c r="W228" s="29"/>
    </row>
    <row r="229" spans="1:23" x14ac:dyDescent="0.3">
      <c r="A229" s="49"/>
      <c r="B229" s="49"/>
      <c r="C229" s="49"/>
      <c r="D229" s="94"/>
      <c r="E229" s="89"/>
      <c r="F229" s="84"/>
      <c r="G229" s="88"/>
      <c r="H229" s="87"/>
      <c r="I229" s="87"/>
      <c r="J229" s="123"/>
      <c r="K229" s="140"/>
      <c r="L229" s="130"/>
      <c r="M229" s="124"/>
      <c r="N229" s="74"/>
      <c r="O229" s="194"/>
      <c r="P229" s="6"/>
      <c r="Q229" s="16"/>
      <c r="R229" s="8"/>
      <c r="S229" s="110"/>
      <c r="T229" s="103"/>
      <c r="U229" s="103"/>
      <c r="V229" s="104"/>
      <c r="W229" s="29"/>
    </row>
    <row r="230" spans="1:23" x14ac:dyDescent="0.3">
      <c r="A230" s="49"/>
      <c r="B230" s="49"/>
      <c r="C230" s="49"/>
      <c r="D230" s="94"/>
      <c r="E230" s="89"/>
      <c r="F230" s="84"/>
      <c r="G230" s="88"/>
      <c r="H230" s="87"/>
      <c r="I230" s="87"/>
      <c r="J230" s="123"/>
      <c r="K230" s="140"/>
      <c r="L230" s="130"/>
      <c r="M230" s="124"/>
      <c r="N230" s="74"/>
      <c r="O230" s="194"/>
      <c r="P230" s="6"/>
      <c r="Q230" s="16"/>
      <c r="R230" s="106"/>
      <c r="S230" s="13"/>
      <c r="T230" s="103"/>
      <c r="U230" s="103"/>
      <c r="V230" s="104"/>
      <c r="W230" s="29"/>
    </row>
    <row r="231" spans="1:23" x14ac:dyDescent="0.3">
      <c r="A231" s="49"/>
      <c r="B231" s="49"/>
      <c r="C231" s="49"/>
      <c r="D231" s="94"/>
      <c r="E231" s="85"/>
      <c r="F231" s="86"/>
      <c r="G231" s="88"/>
      <c r="H231" s="87"/>
      <c r="I231" s="87"/>
      <c r="J231" s="123"/>
      <c r="K231" s="140"/>
      <c r="L231" s="130"/>
      <c r="M231" s="124"/>
      <c r="N231" s="74"/>
      <c r="O231" s="194"/>
      <c r="P231" s="6"/>
      <c r="Q231" s="16"/>
      <c r="R231" s="9"/>
      <c r="S231" s="13"/>
      <c r="T231" s="103"/>
      <c r="U231" s="103"/>
      <c r="V231" s="104"/>
      <c r="W231" s="29"/>
    </row>
    <row r="232" spans="1:23" x14ac:dyDescent="0.3">
      <c r="A232" s="49"/>
      <c r="B232" s="49"/>
      <c r="C232" s="49"/>
      <c r="D232" s="94"/>
      <c r="G232" s="88"/>
      <c r="H232" s="87"/>
      <c r="I232" s="87"/>
      <c r="J232" s="123"/>
      <c r="K232" s="140"/>
      <c r="L232" s="130"/>
      <c r="M232" s="129"/>
      <c r="N232" s="76"/>
      <c r="O232" s="144"/>
      <c r="P232" s="6"/>
      <c r="Q232" s="16"/>
      <c r="R232" s="106"/>
      <c r="S232" s="110"/>
      <c r="T232" s="103"/>
      <c r="U232" s="103"/>
      <c r="V232" s="104"/>
      <c r="W232" s="29"/>
    </row>
    <row r="233" spans="1:23" x14ac:dyDescent="0.3">
      <c r="A233" s="49"/>
      <c r="B233" s="49"/>
      <c r="C233" s="49"/>
      <c r="D233" s="94"/>
      <c r="E233" s="85"/>
      <c r="F233" s="86"/>
      <c r="G233" s="88"/>
      <c r="H233" s="87"/>
      <c r="I233" s="87"/>
      <c r="J233" s="123"/>
      <c r="K233" s="140"/>
      <c r="L233" s="130"/>
      <c r="M233" s="124"/>
      <c r="N233" s="74"/>
      <c r="O233" s="194"/>
      <c r="P233" s="6"/>
      <c r="Q233" s="16"/>
      <c r="R233" s="106"/>
      <c r="S233" s="110"/>
      <c r="T233" s="103"/>
      <c r="U233" s="103"/>
      <c r="V233" s="104"/>
      <c r="W233" s="29"/>
    </row>
    <row r="234" spans="1:23" x14ac:dyDescent="0.3">
      <c r="A234" s="49"/>
      <c r="B234" s="49"/>
      <c r="C234" s="49"/>
      <c r="D234" s="94"/>
      <c r="E234" s="89"/>
      <c r="F234" s="84"/>
      <c r="G234" s="88"/>
      <c r="H234" s="87"/>
      <c r="I234" s="87"/>
      <c r="J234" s="123"/>
      <c r="K234" s="140"/>
      <c r="L234" s="130"/>
      <c r="M234" s="124"/>
      <c r="N234" s="74"/>
      <c r="O234" s="194"/>
      <c r="P234" s="6"/>
      <c r="Q234" s="16"/>
      <c r="R234" s="106"/>
      <c r="S234" s="13"/>
      <c r="T234" s="103"/>
      <c r="U234" s="103"/>
      <c r="V234" s="104"/>
      <c r="W234" s="29"/>
    </row>
    <row r="235" spans="1:23" x14ac:dyDescent="0.3">
      <c r="A235" s="49"/>
      <c r="B235" s="49"/>
      <c r="C235" s="49"/>
      <c r="D235" s="94"/>
      <c r="E235" s="89"/>
      <c r="F235" s="84"/>
      <c r="G235" s="88"/>
      <c r="H235" s="87"/>
      <c r="I235" s="87"/>
      <c r="J235" s="123"/>
      <c r="K235" s="140"/>
      <c r="L235" s="130"/>
      <c r="M235" s="129"/>
      <c r="N235" s="76"/>
      <c r="O235" s="144"/>
      <c r="P235" s="6"/>
      <c r="Q235" s="16"/>
      <c r="R235" s="106"/>
      <c r="S235" s="13"/>
      <c r="T235" s="103"/>
      <c r="U235" s="103"/>
      <c r="V235" s="104"/>
      <c r="W235" s="29"/>
    </row>
    <row r="236" spans="1:23" x14ac:dyDescent="0.3">
      <c r="A236" s="49"/>
      <c r="B236" s="49"/>
      <c r="C236" s="49"/>
      <c r="D236" s="94"/>
      <c r="E236" s="85"/>
      <c r="F236" s="86"/>
      <c r="G236" s="88"/>
      <c r="H236" s="87"/>
      <c r="I236" s="87"/>
      <c r="J236" s="123"/>
      <c r="K236" s="140"/>
      <c r="L236" s="130"/>
      <c r="M236" s="124"/>
      <c r="N236" s="74"/>
      <c r="O236" s="194"/>
      <c r="P236" s="6"/>
      <c r="Q236" s="165"/>
      <c r="R236" s="106"/>
      <c r="S236" s="110"/>
      <c r="T236" s="103"/>
      <c r="U236" s="103"/>
      <c r="V236" s="104"/>
      <c r="W236" s="29"/>
    </row>
    <row r="237" spans="1:23" x14ac:dyDescent="0.3">
      <c r="A237" s="49"/>
      <c r="B237" s="49"/>
      <c r="C237" s="49"/>
      <c r="D237" s="94"/>
      <c r="E237" s="89"/>
      <c r="F237" s="84"/>
      <c r="G237" s="88"/>
      <c r="H237" s="87"/>
      <c r="I237" s="87"/>
      <c r="J237" s="123"/>
      <c r="K237" s="140"/>
      <c r="L237" s="130"/>
      <c r="M237" s="124"/>
      <c r="N237" s="74"/>
      <c r="O237" s="194"/>
      <c r="P237" s="6"/>
      <c r="Q237" s="165"/>
      <c r="R237" s="106"/>
      <c r="S237" s="110"/>
      <c r="T237" s="103"/>
      <c r="U237" s="103"/>
      <c r="V237" s="104"/>
      <c r="W237" s="29"/>
    </row>
    <row r="238" spans="1:23" x14ac:dyDescent="0.3">
      <c r="A238" s="49"/>
      <c r="B238" s="49"/>
      <c r="C238" s="49"/>
      <c r="D238" s="94"/>
      <c r="E238" s="89"/>
      <c r="F238" s="84"/>
      <c r="G238" s="88"/>
      <c r="H238" s="87"/>
      <c r="I238" s="87"/>
      <c r="J238" s="123"/>
      <c r="K238" s="140"/>
      <c r="L238" s="130"/>
      <c r="M238" s="124"/>
      <c r="N238" s="74"/>
      <c r="O238" s="194"/>
      <c r="P238" s="6"/>
      <c r="Q238" s="16"/>
      <c r="R238" s="8"/>
      <c r="S238" s="13"/>
      <c r="T238" s="103"/>
      <c r="U238" s="103"/>
      <c r="V238" s="104"/>
      <c r="W238" s="29"/>
    </row>
    <row r="239" spans="1:23" x14ac:dyDescent="0.3">
      <c r="A239" s="49"/>
      <c r="B239" s="49"/>
      <c r="C239" s="49"/>
      <c r="D239" s="94"/>
      <c r="E239" s="89"/>
      <c r="F239" s="84"/>
      <c r="G239" s="88"/>
      <c r="H239" s="87"/>
      <c r="I239" s="87"/>
      <c r="J239" s="123"/>
      <c r="K239" s="140"/>
      <c r="L239" s="130"/>
      <c r="M239" s="124"/>
      <c r="N239" s="74"/>
      <c r="O239" s="194"/>
      <c r="P239" s="6"/>
      <c r="Q239" s="16"/>
      <c r="R239" s="9"/>
      <c r="S239" s="13"/>
      <c r="T239" s="103"/>
      <c r="U239" s="103"/>
      <c r="V239" s="104"/>
      <c r="W239" s="29"/>
    </row>
    <row r="240" spans="1:23" x14ac:dyDescent="0.3">
      <c r="A240" s="49"/>
      <c r="B240" s="49"/>
      <c r="C240" s="49"/>
      <c r="D240" s="94"/>
      <c r="E240" s="89"/>
      <c r="F240" s="84"/>
      <c r="G240" s="88"/>
      <c r="H240" s="87"/>
      <c r="I240" s="87"/>
      <c r="J240" s="123"/>
      <c r="K240" s="140"/>
      <c r="L240" s="130"/>
      <c r="M240" s="124"/>
      <c r="N240" s="74"/>
      <c r="O240" s="194"/>
      <c r="P240" s="6"/>
      <c r="Q240" s="16"/>
      <c r="R240" s="8"/>
      <c r="S240" s="13"/>
      <c r="T240" s="103"/>
      <c r="U240" s="103"/>
      <c r="V240" s="104"/>
      <c r="W240" s="29"/>
    </row>
    <row r="241" spans="1:23" x14ac:dyDescent="0.3">
      <c r="A241" s="49"/>
      <c r="B241" s="49"/>
      <c r="C241" s="49"/>
      <c r="D241" s="94"/>
      <c r="E241" s="89"/>
      <c r="F241" s="84"/>
      <c r="G241" s="88"/>
      <c r="H241" s="87"/>
      <c r="I241" s="87"/>
      <c r="J241" s="123"/>
      <c r="K241" s="140"/>
      <c r="L241" s="130"/>
      <c r="M241" s="124"/>
      <c r="N241" s="74"/>
      <c r="O241" s="194"/>
      <c r="P241" s="6"/>
      <c r="Q241" s="16"/>
      <c r="R241" s="8"/>
      <c r="S241" s="13"/>
      <c r="T241" s="103"/>
      <c r="U241" s="103"/>
      <c r="V241" s="104"/>
      <c r="W241" s="29"/>
    </row>
    <row r="242" spans="1:23" x14ac:dyDescent="0.3">
      <c r="A242" s="49"/>
      <c r="B242" s="49"/>
      <c r="C242" s="49"/>
      <c r="D242" s="94"/>
      <c r="E242" s="89"/>
      <c r="F242" s="84"/>
      <c r="G242" s="89"/>
      <c r="H242" s="84"/>
      <c r="I242" s="84"/>
      <c r="J242" s="119"/>
      <c r="K242" s="140"/>
      <c r="L242" s="131"/>
      <c r="M242" s="128"/>
      <c r="N242" s="75"/>
      <c r="O242" s="152"/>
      <c r="P242" s="6"/>
      <c r="Q242" s="16"/>
      <c r="R242" s="8"/>
      <c r="S242" s="13"/>
      <c r="T242" s="103"/>
      <c r="U242" s="103"/>
      <c r="V242" s="104"/>
      <c r="W242" s="29"/>
    </row>
    <row r="243" spans="1:23" x14ac:dyDescent="0.3">
      <c r="A243" s="49"/>
      <c r="B243" s="49"/>
      <c r="C243" s="49"/>
      <c r="D243" s="94"/>
      <c r="E243" s="85"/>
      <c r="F243" s="86"/>
      <c r="G243" s="88"/>
      <c r="H243" s="87"/>
      <c r="I243" s="87"/>
      <c r="J243" s="123"/>
      <c r="K243" s="140"/>
      <c r="L243" s="130"/>
      <c r="M243" s="128"/>
      <c r="N243" s="75"/>
      <c r="O243" s="152"/>
      <c r="P243" s="6"/>
      <c r="Q243" s="16"/>
      <c r="R243" s="106"/>
      <c r="S243" s="110"/>
      <c r="T243" s="103"/>
      <c r="U243" s="103"/>
      <c r="V243" s="104"/>
      <c r="W243" s="29"/>
    </row>
    <row r="244" spans="1:23" x14ac:dyDescent="0.3">
      <c r="A244" s="49"/>
      <c r="B244" s="49"/>
      <c r="C244" s="49"/>
      <c r="D244" s="94"/>
      <c r="E244" s="85"/>
      <c r="F244" s="86"/>
      <c r="G244" s="88"/>
      <c r="H244" s="87"/>
      <c r="I244" s="87"/>
      <c r="J244" s="123"/>
      <c r="K244" s="140"/>
      <c r="L244" s="130"/>
      <c r="M244" s="128"/>
      <c r="N244" s="75"/>
      <c r="O244" s="152"/>
      <c r="P244" s="6"/>
      <c r="Q244" s="16"/>
      <c r="R244" s="9"/>
      <c r="S244" s="13"/>
      <c r="T244" s="103"/>
      <c r="U244" s="103"/>
      <c r="V244" s="104"/>
      <c r="W244" s="29"/>
    </row>
    <row r="245" spans="1:23" x14ac:dyDescent="0.3">
      <c r="A245" s="49"/>
      <c r="B245" s="49"/>
      <c r="C245" s="49"/>
      <c r="D245" s="94"/>
      <c r="E245" s="89"/>
      <c r="F245" s="84"/>
      <c r="G245" s="88"/>
      <c r="H245" s="87"/>
      <c r="I245" s="87"/>
      <c r="J245" s="123"/>
      <c r="K245" s="140"/>
      <c r="L245" s="130"/>
      <c r="M245" s="128"/>
      <c r="N245" s="75"/>
      <c r="O245" s="152"/>
      <c r="P245" s="6"/>
      <c r="Q245" s="16"/>
      <c r="R245" s="8"/>
      <c r="S245" s="13"/>
      <c r="T245" s="103"/>
      <c r="U245" s="103"/>
      <c r="V245" s="104"/>
      <c r="W245" s="29"/>
    </row>
    <row r="246" spans="1:23" x14ac:dyDescent="0.3">
      <c r="A246" s="49"/>
      <c r="B246" s="49"/>
      <c r="C246" s="49"/>
      <c r="D246" s="94"/>
      <c r="E246" s="89"/>
      <c r="F246" s="84"/>
      <c r="G246" s="88"/>
      <c r="H246" s="87"/>
      <c r="I246" s="87"/>
      <c r="J246" s="123"/>
      <c r="K246" s="140"/>
      <c r="L246" s="130"/>
      <c r="M246" s="128"/>
      <c r="N246" s="75"/>
      <c r="O246" s="152"/>
      <c r="P246" s="6"/>
      <c r="Q246" s="16"/>
      <c r="R246" s="8"/>
      <c r="S246" s="13"/>
      <c r="T246" s="103"/>
      <c r="U246" s="103"/>
      <c r="V246" s="104"/>
      <c r="W246" s="29"/>
    </row>
    <row r="247" spans="1:23" x14ac:dyDescent="0.3">
      <c r="A247" s="49"/>
      <c r="B247" s="49"/>
      <c r="C247" s="49"/>
      <c r="D247" s="94"/>
      <c r="E247" s="85"/>
      <c r="F247" s="86"/>
      <c r="G247" s="88"/>
      <c r="H247" s="87"/>
      <c r="I247" s="87"/>
      <c r="J247" s="123"/>
      <c r="K247" s="138"/>
      <c r="L247" s="130"/>
      <c r="M247" s="121"/>
      <c r="N247" s="72"/>
      <c r="O247" s="152"/>
      <c r="P247" s="6"/>
      <c r="Q247" s="192"/>
      <c r="R247" s="96"/>
      <c r="S247" s="13"/>
      <c r="T247" s="13"/>
      <c r="U247" s="13"/>
      <c r="V247" s="100"/>
      <c r="W247" s="209"/>
    </row>
    <row r="248" spans="1:23" x14ac:dyDescent="0.3">
      <c r="A248" s="50"/>
      <c r="B248" s="50"/>
      <c r="C248" s="50"/>
      <c r="D248" s="95"/>
      <c r="E248" s="89"/>
      <c r="F248" s="84"/>
      <c r="G248" s="88"/>
      <c r="H248" s="87"/>
      <c r="I248" s="87"/>
      <c r="J248" s="123"/>
      <c r="K248" s="140"/>
      <c r="L248" s="130"/>
      <c r="M248" s="129"/>
      <c r="N248" s="76"/>
      <c r="O248" s="144"/>
      <c r="P248" s="6"/>
      <c r="Q248" s="16"/>
      <c r="R248" s="106"/>
      <c r="S248" s="13"/>
      <c r="T248" s="103"/>
      <c r="U248" s="103"/>
      <c r="V248" s="104"/>
      <c r="W248" s="29"/>
    </row>
    <row r="249" spans="1:23" x14ac:dyDescent="0.3">
      <c r="A249" s="49"/>
      <c r="B249" s="49"/>
      <c r="C249" s="49"/>
      <c r="D249" s="94"/>
      <c r="E249" s="85"/>
      <c r="F249" s="86"/>
      <c r="G249" s="85"/>
      <c r="H249" s="86"/>
      <c r="I249" s="87"/>
      <c r="J249" s="123"/>
      <c r="K249" s="140"/>
      <c r="L249" s="130"/>
      <c r="M249" s="129"/>
      <c r="N249" s="76"/>
      <c r="O249" s="194"/>
      <c r="P249" s="6"/>
      <c r="Q249" s="16"/>
      <c r="R249" s="106"/>
      <c r="S249" s="110"/>
      <c r="T249" s="103"/>
      <c r="U249" s="103"/>
      <c r="V249" s="104"/>
      <c r="W249" s="29"/>
    </row>
    <row r="250" spans="1:23" x14ac:dyDescent="0.3">
      <c r="A250" s="49"/>
      <c r="B250" s="49"/>
      <c r="C250" s="49"/>
      <c r="D250" s="94"/>
      <c r="E250" s="85"/>
      <c r="F250" s="86"/>
      <c r="G250" s="88"/>
      <c r="H250" s="87"/>
      <c r="I250" s="87"/>
      <c r="J250" s="123"/>
      <c r="K250" s="140"/>
      <c r="L250" s="130"/>
      <c r="M250" s="129"/>
      <c r="N250" s="76"/>
      <c r="O250" s="144"/>
      <c r="P250" s="6"/>
      <c r="Q250" s="165"/>
      <c r="R250" s="106"/>
      <c r="S250" s="13"/>
      <c r="T250" s="103"/>
      <c r="U250" s="103"/>
      <c r="V250" s="104"/>
      <c r="W250" s="29"/>
    </row>
    <row r="251" spans="1:23" x14ac:dyDescent="0.3">
      <c r="A251" s="49"/>
      <c r="B251" s="49"/>
      <c r="C251" s="49"/>
      <c r="D251" s="94"/>
      <c r="E251" s="85"/>
      <c r="F251" s="86"/>
      <c r="G251" s="88"/>
      <c r="H251" s="87"/>
      <c r="I251" s="87"/>
      <c r="J251" s="123"/>
      <c r="K251" s="140"/>
      <c r="L251" s="130"/>
      <c r="M251" s="129"/>
      <c r="N251" s="76"/>
      <c r="O251" s="144"/>
      <c r="P251" s="6"/>
      <c r="Q251" s="16"/>
      <c r="R251" s="106"/>
      <c r="S251" s="110"/>
      <c r="T251" s="103"/>
      <c r="U251" s="103"/>
      <c r="V251" s="104"/>
      <c r="W251" s="29"/>
    </row>
    <row r="252" spans="1:23" x14ac:dyDescent="0.3">
      <c r="A252" s="49"/>
      <c r="B252" s="49"/>
      <c r="C252" s="49"/>
      <c r="D252" s="94"/>
      <c r="E252" s="85"/>
      <c r="F252" s="86"/>
      <c r="G252" s="88"/>
      <c r="H252" s="87"/>
      <c r="I252" s="87"/>
      <c r="J252" s="123"/>
      <c r="K252" s="140"/>
      <c r="L252" s="130"/>
      <c r="M252" s="129"/>
      <c r="N252" s="76"/>
      <c r="O252" s="194"/>
      <c r="P252" s="6"/>
      <c r="Q252" s="165"/>
      <c r="R252" s="8"/>
      <c r="S252" s="13"/>
      <c r="T252" s="103"/>
      <c r="U252" s="103"/>
      <c r="V252" s="104"/>
      <c r="W252" s="29"/>
    </row>
    <row r="253" spans="1:23" x14ac:dyDescent="0.3">
      <c r="A253" s="49"/>
      <c r="B253" s="49"/>
      <c r="C253" s="49"/>
      <c r="D253" s="94"/>
      <c r="E253" s="85"/>
      <c r="F253" s="86"/>
      <c r="G253" s="88"/>
      <c r="H253" s="87"/>
      <c r="I253" s="87"/>
      <c r="J253" s="123"/>
      <c r="K253" s="140"/>
      <c r="L253" s="130"/>
      <c r="M253" s="129"/>
      <c r="N253" s="76"/>
      <c r="O253" s="144"/>
      <c r="P253" s="6"/>
      <c r="Q253" s="16"/>
      <c r="R253" s="106"/>
      <c r="S253" s="13"/>
      <c r="T253" s="103"/>
      <c r="U253" s="103"/>
      <c r="V253" s="104"/>
      <c r="W253" s="29"/>
    </row>
    <row r="254" spans="1:23" x14ac:dyDescent="0.3">
      <c r="A254" s="49"/>
      <c r="B254" s="49"/>
      <c r="C254" s="49"/>
      <c r="D254" s="94"/>
      <c r="E254" s="85"/>
      <c r="F254" s="86"/>
      <c r="G254" s="88"/>
      <c r="H254" s="87"/>
      <c r="I254" s="87"/>
      <c r="J254" s="123"/>
      <c r="K254" s="140"/>
      <c r="L254" s="130"/>
      <c r="M254" s="129"/>
      <c r="N254" s="76"/>
      <c r="O254" s="144"/>
      <c r="P254" s="6"/>
      <c r="Q254" s="16"/>
      <c r="R254" s="8"/>
      <c r="S254" s="13"/>
      <c r="T254" s="103"/>
      <c r="U254" s="103"/>
      <c r="V254" s="104"/>
      <c r="W254" s="29"/>
    </row>
    <row r="255" spans="1:23" x14ac:dyDescent="0.3">
      <c r="A255" s="49"/>
      <c r="B255" s="49"/>
      <c r="C255" s="49"/>
      <c r="D255" s="94"/>
      <c r="E255" s="85"/>
      <c r="F255" s="86"/>
      <c r="G255" s="89"/>
      <c r="H255" s="84"/>
      <c r="I255" s="84"/>
      <c r="J255" s="119"/>
      <c r="K255" s="140"/>
      <c r="L255" s="131"/>
      <c r="M255" s="129"/>
      <c r="N255" s="76"/>
      <c r="O255" s="144"/>
      <c r="P255" s="6"/>
      <c r="Q255" s="16"/>
      <c r="R255" s="106"/>
      <c r="S255" s="13"/>
      <c r="T255" s="103"/>
      <c r="U255" s="103"/>
      <c r="V255" s="104"/>
      <c r="W255" s="29"/>
    </row>
    <row r="256" spans="1:23" x14ac:dyDescent="0.3">
      <c r="A256" s="49"/>
      <c r="B256" s="49"/>
      <c r="C256" s="49"/>
      <c r="D256" s="94"/>
      <c r="E256" s="85"/>
      <c r="F256" s="86"/>
      <c r="G256" s="88"/>
      <c r="H256" s="87"/>
      <c r="I256" s="87"/>
      <c r="J256" s="123"/>
      <c r="K256" s="140"/>
      <c r="L256" s="130"/>
      <c r="M256" s="129"/>
      <c r="N256" s="76"/>
      <c r="O256" s="144"/>
      <c r="P256" s="6"/>
      <c r="Q256" s="16"/>
      <c r="R256" s="106"/>
      <c r="S256" s="13"/>
      <c r="T256" s="103"/>
      <c r="U256" s="103"/>
      <c r="V256" s="104"/>
      <c r="W256" s="29"/>
    </row>
    <row r="257" spans="1:23" x14ac:dyDescent="0.3">
      <c r="A257" s="49"/>
      <c r="B257" s="49"/>
      <c r="C257" s="49"/>
      <c r="D257" s="94"/>
      <c r="E257" s="85"/>
      <c r="F257" s="86"/>
      <c r="G257" s="88"/>
      <c r="H257" s="87"/>
      <c r="I257" s="87"/>
      <c r="J257" s="123"/>
      <c r="K257" s="140"/>
      <c r="L257" s="130"/>
      <c r="M257" s="129"/>
      <c r="N257" s="76"/>
      <c r="O257" s="144"/>
      <c r="P257" s="6"/>
      <c r="Q257" s="16"/>
      <c r="R257" s="9"/>
      <c r="S257" s="13"/>
      <c r="T257" s="103"/>
      <c r="U257" s="103"/>
      <c r="V257" s="104"/>
      <c r="W257" s="29"/>
    </row>
    <row r="258" spans="1:23" x14ac:dyDescent="0.3">
      <c r="A258" s="49"/>
      <c r="B258" s="49"/>
      <c r="C258" s="49"/>
      <c r="D258" s="94"/>
      <c r="E258" s="85"/>
      <c r="F258" s="86"/>
      <c r="G258" s="88"/>
      <c r="H258" s="87"/>
      <c r="I258" s="87"/>
      <c r="J258" s="123"/>
      <c r="K258" s="140"/>
      <c r="L258" s="130"/>
      <c r="M258" s="129"/>
      <c r="N258" s="76"/>
      <c r="O258" s="144"/>
      <c r="P258" s="6"/>
      <c r="Q258" s="16"/>
      <c r="R258" s="8"/>
      <c r="S258" s="13"/>
      <c r="T258" s="103"/>
      <c r="U258" s="103"/>
      <c r="V258" s="104"/>
      <c r="W258" s="29"/>
    </row>
    <row r="259" spans="1:23" x14ac:dyDescent="0.3">
      <c r="A259" s="49"/>
      <c r="B259" s="49"/>
      <c r="C259" s="49"/>
      <c r="D259" s="94"/>
      <c r="E259" s="85"/>
      <c r="F259" s="86"/>
      <c r="G259" s="88"/>
      <c r="H259" s="87"/>
      <c r="I259" s="87"/>
      <c r="J259" s="123"/>
      <c r="K259" s="140"/>
      <c r="L259" s="130"/>
      <c r="M259" s="129"/>
      <c r="N259" s="76"/>
      <c r="O259" s="144"/>
      <c r="P259" s="6"/>
      <c r="Q259" s="16"/>
      <c r="R259" s="8"/>
      <c r="S259" s="13"/>
      <c r="T259" s="103"/>
      <c r="U259" s="103"/>
      <c r="V259" s="104"/>
      <c r="W259" s="29"/>
    </row>
    <row r="260" spans="1:23" x14ac:dyDescent="0.3">
      <c r="A260" s="49"/>
      <c r="B260" s="49"/>
      <c r="C260" s="49"/>
      <c r="D260" s="94"/>
      <c r="E260" s="85"/>
      <c r="F260" s="86"/>
      <c r="G260" s="89"/>
      <c r="H260" s="84"/>
      <c r="I260" s="84"/>
      <c r="J260" s="119"/>
      <c r="K260" s="140"/>
      <c r="L260" s="131"/>
      <c r="M260" s="124"/>
      <c r="N260" s="74"/>
      <c r="O260" s="194"/>
      <c r="P260" s="6"/>
      <c r="Q260" s="16"/>
      <c r="R260" s="9"/>
      <c r="S260" s="110"/>
      <c r="T260" s="103"/>
      <c r="U260" s="103"/>
      <c r="V260" s="104"/>
      <c r="W260" s="29"/>
    </row>
    <row r="261" spans="1:23" x14ac:dyDescent="0.3">
      <c r="A261" s="49"/>
      <c r="B261" s="49"/>
      <c r="C261" s="49"/>
      <c r="D261" s="94"/>
      <c r="E261" s="89"/>
      <c r="F261" s="84"/>
      <c r="G261" s="85"/>
      <c r="H261" s="86"/>
      <c r="I261" s="87"/>
      <c r="J261" s="123"/>
      <c r="K261" s="140"/>
      <c r="L261" s="130"/>
      <c r="M261" s="129"/>
      <c r="N261" s="76"/>
      <c r="O261" s="194"/>
      <c r="P261" s="6"/>
      <c r="Q261" s="16"/>
      <c r="R261" s="8"/>
      <c r="S261" s="13"/>
      <c r="T261" s="103"/>
      <c r="U261" s="103"/>
      <c r="V261" s="104"/>
      <c r="W261" s="29"/>
    </row>
    <row r="262" spans="1:23" x14ac:dyDescent="0.3">
      <c r="A262" s="49"/>
      <c r="B262" s="49"/>
      <c r="C262" s="49"/>
      <c r="D262" s="94"/>
      <c r="E262" s="85"/>
      <c r="F262" s="86"/>
      <c r="G262" s="85"/>
      <c r="H262" s="86"/>
      <c r="I262" s="87"/>
      <c r="J262" s="123"/>
      <c r="K262" s="140"/>
      <c r="L262" s="130"/>
      <c r="M262" s="129"/>
      <c r="N262" s="76"/>
      <c r="O262" s="144"/>
      <c r="P262" s="6"/>
      <c r="Q262" s="16"/>
      <c r="R262" s="9"/>
      <c r="S262" s="13"/>
      <c r="T262" s="103"/>
      <c r="U262" s="103"/>
      <c r="V262" s="104"/>
      <c r="W262" s="29"/>
    </row>
    <row r="263" spans="1:23" x14ac:dyDescent="0.3">
      <c r="A263" s="49"/>
      <c r="B263" s="49"/>
      <c r="C263" s="49"/>
      <c r="D263" s="94"/>
      <c r="E263" s="85"/>
      <c r="F263" s="86"/>
      <c r="G263" s="88"/>
      <c r="H263" s="87"/>
      <c r="I263" s="87"/>
      <c r="J263" s="123"/>
      <c r="K263" s="140"/>
      <c r="L263" s="130"/>
      <c r="M263" s="129"/>
      <c r="N263" s="76"/>
      <c r="O263" s="144"/>
      <c r="P263" s="6"/>
      <c r="Q263" s="16"/>
      <c r="R263" s="106"/>
      <c r="S263" s="13"/>
      <c r="T263" s="103"/>
      <c r="U263" s="103"/>
      <c r="V263" s="104"/>
      <c r="W263" s="29"/>
    </row>
    <row r="264" spans="1:23" x14ac:dyDescent="0.3">
      <c r="A264" s="49"/>
      <c r="B264" s="49"/>
      <c r="C264" s="49"/>
      <c r="D264" s="94"/>
      <c r="E264" s="85"/>
      <c r="F264" s="86"/>
      <c r="G264" s="88"/>
      <c r="H264" s="87"/>
      <c r="I264" s="87"/>
      <c r="J264" s="123"/>
      <c r="K264" s="140"/>
      <c r="L264" s="130"/>
      <c r="M264" s="129"/>
      <c r="N264" s="76"/>
      <c r="O264" s="144"/>
      <c r="P264" s="6"/>
      <c r="Q264" s="16"/>
      <c r="R264" s="106"/>
      <c r="S264" s="13"/>
      <c r="T264" s="103"/>
      <c r="U264" s="103"/>
      <c r="V264" s="104"/>
      <c r="W264" s="29"/>
    </row>
    <row r="265" spans="1:23" x14ac:dyDescent="0.3">
      <c r="A265" s="49"/>
      <c r="B265" s="49"/>
      <c r="C265" s="49"/>
      <c r="D265" s="94"/>
      <c r="E265" s="85"/>
      <c r="F265" s="86"/>
      <c r="G265" s="88"/>
      <c r="H265" s="87"/>
      <c r="I265" s="87"/>
      <c r="J265" s="123"/>
      <c r="K265" s="140"/>
      <c r="L265" s="130"/>
      <c r="M265" s="129"/>
      <c r="N265" s="76"/>
      <c r="O265" s="144"/>
      <c r="P265" s="6"/>
      <c r="Q265" s="165"/>
      <c r="R265" s="106"/>
      <c r="S265" s="13"/>
      <c r="T265" s="103"/>
      <c r="U265" s="103"/>
      <c r="V265" s="104"/>
      <c r="W265" s="29"/>
    </row>
    <row r="266" spans="1:23" x14ac:dyDescent="0.3">
      <c r="A266" s="49"/>
      <c r="B266" s="49"/>
      <c r="C266" s="49"/>
      <c r="D266" s="94"/>
      <c r="E266" s="85"/>
      <c r="F266" s="86"/>
      <c r="G266" s="89"/>
      <c r="H266" s="84"/>
      <c r="I266" s="87"/>
      <c r="J266" s="123"/>
      <c r="K266" s="140"/>
      <c r="L266" s="130"/>
      <c r="M266" s="124"/>
      <c r="N266" s="74"/>
      <c r="O266" s="194"/>
      <c r="P266" s="6"/>
      <c r="Q266" s="165"/>
      <c r="R266" s="106"/>
      <c r="S266" s="13"/>
      <c r="T266" s="103"/>
      <c r="U266" s="103"/>
      <c r="V266" s="104"/>
      <c r="W266" s="29"/>
    </row>
    <row r="267" spans="1:23" x14ac:dyDescent="0.3">
      <c r="A267" s="49"/>
      <c r="B267" s="49"/>
      <c r="C267" s="49"/>
      <c r="D267" s="94"/>
      <c r="E267" s="85"/>
      <c r="F267" s="86"/>
      <c r="G267" s="88"/>
      <c r="H267" s="87"/>
      <c r="I267" s="87"/>
      <c r="J267" s="123"/>
      <c r="K267" s="140"/>
      <c r="L267" s="130"/>
      <c r="M267" s="124"/>
      <c r="N267" s="74"/>
      <c r="O267" s="194"/>
      <c r="P267" s="6"/>
      <c r="Q267" s="16"/>
      <c r="R267" s="106"/>
      <c r="S267" s="13"/>
      <c r="T267" s="103"/>
      <c r="U267" s="103"/>
      <c r="V267" s="104"/>
      <c r="W267" s="29"/>
    </row>
    <row r="268" spans="1:23" x14ac:dyDescent="0.3">
      <c r="A268" s="49"/>
      <c r="B268" s="49"/>
      <c r="C268" s="49"/>
      <c r="D268" s="94"/>
      <c r="G268" s="88"/>
      <c r="H268" s="87"/>
      <c r="I268" s="87"/>
      <c r="J268" s="123"/>
      <c r="K268" s="140"/>
      <c r="L268" s="130"/>
      <c r="M268" s="129"/>
      <c r="N268" s="76"/>
      <c r="O268" s="144"/>
      <c r="P268" s="6"/>
      <c r="Q268" s="16"/>
      <c r="R268" s="106"/>
      <c r="S268" s="13"/>
      <c r="T268" s="103"/>
      <c r="U268" s="103"/>
      <c r="V268" s="104"/>
      <c r="W268" s="29"/>
    </row>
    <row r="269" spans="1:23" x14ac:dyDescent="0.3">
      <c r="A269" s="49"/>
      <c r="B269" s="49"/>
      <c r="C269" s="49"/>
      <c r="D269" s="94"/>
      <c r="E269" s="85"/>
      <c r="F269" s="86"/>
      <c r="G269" s="88"/>
      <c r="H269" s="87"/>
      <c r="I269" s="87"/>
      <c r="J269" s="123"/>
      <c r="K269" s="140"/>
      <c r="L269" s="130"/>
      <c r="M269" s="129"/>
      <c r="N269" s="76"/>
      <c r="O269" s="144"/>
      <c r="P269" s="6"/>
      <c r="Q269" s="16"/>
      <c r="R269" s="106"/>
      <c r="S269" s="13"/>
      <c r="T269" s="103"/>
      <c r="U269" s="103"/>
      <c r="V269" s="104"/>
      <c r="W269" s="29"/>
    </row>
    <row r="270" spans="1:23" x14ac:dyDescent="0.3">
      <c r="A270" s="49"/>
      <c r="B270" s="49"/>
      <c r="C270" s="49"/>
      <c r="D270" s="94"/>
      <c r="E270" s="85"/>
      <c r="F270" s="86"/>
      <c r="G270" s="88"/>
      <c r="H270" s="87"/>
      <c r="I270" s="87"/>
      <c r="J270" s="123"/>
      <c r="K270" s="140"/>
      <c r="L270" s="130"/>
      <c r="M270" s="129"/>
      <c r="N270" s="76"/>
      <c r="O270" s="144"/>
      <c r="P270" s="6"/>
      <c r="Q270" s="16"/>
      <c r="R270" s="106"/>
      <c r="S270" s="13"/>
      <c r="T270" s="103"/>
      <c r="U270" s="103"/>
      <c r="V270" s="104"/>
      <c r="W270" s="29"/>
    </row>
    <row r="271" spans="1:23" x14ac:dyDescent="0.3">
      <c r="A271" s="49"/>
      <c r="B271" s="49"/>
      <c r="C271" s="49"/>
      <c r="D271" s="94"/>
      <c r="E271" s="85"/>
      <c r="F271" s="86"/>
      <c r="G271" s="88"/>
      <c r="H271" s="87"/>
      <c r="I271" s="87"/>
      <c r="J271" s="123"/>
      <c r="K271" s="140"/>
      <c r="L271" s="130"/>
      <c r="M271" s="118"/>
      <c r="N271" s="78"/>
      <c r="O271" s="216"/>
      <c r="P271" s="6"/>
      <c r="Q271" s="16"/>
      <c r="R271" s="106"/>
      <c r="S271" s="13"/>
      <c r="T271" s="103"/>
      <c r="U271" s="103"/>
      <c r="V271" s="104"/>
      <c r="W271" s="29"/>
    </row>
    <row r="272" spans="1:23" x14ac:dyDescent="0.3">
      <c r="A272" s="49"/>
      <c r="B272" s="49"/>
      <c r="C272" s="49"/>
      <c r="D272" s="94"/>
      <c r="E272" s="85"/>
      <c r="F272" s="86"/>
      <c r="G272" s="88"/>
      <c r="H272" s="87"/>
      <c r="I272" s="87"/>
      <c r="J272" s="123"/>
      <c r="K272" s="138"/>
      <c r="L272" s="130"/>
      <c r="M272" s="122"/>
      <c r="N272" s="79"/>
      <c r="O272" s="216"/>
      <c r="P272" s="6"/>
      <c r="Q272" s="192"/>
      <c r="R272" s="59"/>
      <c r="S272" s="13"/>
      <c r="T272" s="13"/>
      <c r="U272" s="13"/>
      <c r="V272" s="17"/>
      <c r="W272" s="209"/>
    </row>
    <row r="273" spans="1:23" x14ac:dyDescent="0.3">
      <c r="A273" s="33"/>
      <c r="B273" s="33"/>
      <c r="C273" s="33"/>
      <c r="D273" s="96"/>
      <c r="E273" s="89"/>
      <c r="F273" s="84"/>
      <c r="G273" s="85"/>
      <c r="H273" s="86"/>
      <c r="I273" s="87"/>
      <c r="J273" s="123"/>
      <c r="K273" s="138"/>
      <c r="L273" s="130"/>
      <c r="M273" s="118"/>
      <c r="N273" s="78"/>
      <c r="O273" s="216"/>
      <c r="P273" s="6"/>
      <c r="Q273" s="165"/>
      <c r="R273" s="9"/>
      <c r="S273" s="13"/>
      <c r="T273" s="110"/>
      <c r="U273" s="13"/>
      <c r="V273" s="108"/>
      <c r="W273" s="29"/>
    </row>
    <row r="274" spans="1:23" x14ac:dyDescent="0.3">
      <c r="A274" s="1"/>
      <c r="B274" s="1"/>
      <c r="C274" s="1"/>
      <c r="D274" s="4"/>
      <c r="E274" s="85"/>
      <c r="F274" s="86"/>
      <c r="G274" s="88"/>
      <c r="H274" s="87"/>
      <c r="I274" s="87"/>
      <c r="J274" s="123"/>
      <c r="K274" s="138"/>
      <c r="L274" s="130"/>
      <c r="M274" s="118"/>
      <c r="N274" s="78"/>
      <c r="O274" s="216"/>
      <c r="P274" s="6"/>
      <c r="Q274" s="16"/>
      <c r="R274" s="8"/>
      <c r="S274" s="13"/>
      <c r="T274" s="13"/>
      <c r="U274" s="13"/>
      <c r="V274" s="108"/>
      <c r="W274" s="29"/>
    </row>
    <row r="275" spans="1:23" x14ac:dyDescent="0.3">
      <c r="A275" s="1"/>
      <c r="B275" s="1"/>
      <c r="C275" s="1"/>
      <c r="D275" s="4"/>
      <c r="E275" s="89"/>
      <c r="F275" s="84"/>
      <c r="G275" s="88"/>
      <c r="H275" s="87"/>
      <c r="I275" s="87"/>
      <c r="J275" s="123"/>
      <c r="K275" s="138"/>
      <c r="L275" s="130"/>
      <c r="M275" s="128"/>
      <c r="N275" s="75"/>
      <c r="O275" s="152"/>
      <c r="P275" s="6"/>
      <c r="Q275" s="16"/>
      <c r="R275" s="8"/>
      <c r="S275" s="13"/>
      <c r="T275" s="13"/>
      <c r="U275" s="13"/>
      <c r="V275" s="102"/>
      <c r="W275" s="29"/>
    </row>
    <row r="276" spans="1:23" x14ac:dyDescent="0.3">
      <c r="A276" s="1"/>
      <c r="B276" s="1"/>
      <c r="C276" s="1"/>
      <c r="D276" s="4"/>
      <c r="E276" s="89"/>
      <c r="F276" s="84"/>
      <c r="G276" s="88"/>
      <c r="H276" s="87"/>
      <c r="I276" s="87"/>
      <c r="J276" s="123"/>
      <c r="K276" s="138"/>
      <c r="L276" s="130"/>
      <c r="M276" s="118"/>
      <c r="N276" s="78"/>
      <c r="O276" s="216"/>
      <c r="P276" s="6"/>
      <c r="Q276" s="16"/>
      <c r="R276" s="9"/>
      <c r="S276" s="13"/>
      <c r="T276" s="13"/>
      <c r="U276" s="13"/>
      <c r="V276" s="102"/>
      <c r="W276" s="29"/>
    </row>
    <row r="277" spans="1:23" x14ac:dyDescent="0.3">
      <c r="A277" s="1"/>
      <c r="B277" s="1"/>
      <c r="C277" s="1"/>
      <c r="D277" s="4"/>
      <c r="E277" s="89"/>
      <c r="F277" s="84"/>
    </row>
  </sheetData>
  <mergeCells count="8">
    <mergeCell ref="S87:U87"/>
    <mergeCell ref="A1:D1"/>
    <mergeCell ref="E1:H1"/>
    <mergeCell ref="M1:N1"/>
    <mergeCell ref="P1:Q1"/>
    <mergeCell ref="R1:R2"/>
    <mergeCell ref="S1:U1"/>
    <mergeCell ref="S25:U2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3"/>
  <sheetViews>
    <sheetView zoomScaleNormal="100" workbookViewId="0">
      <selection activeCell="M23" sqref="M23"/>
    </sheetView>
  </sheetViews>
  <sheetFormatPr defaultRowHeight="14.4" x14ac:dyDescent="0.3"/>
  <cols>
    <col min="1" max="1" width="10.6640625" style="256" customWidth="1"/>
    <col min="2" max="2" width="7.44140625" style="205" customWidth="1"/>
    <col min="3" max="3" width="13.109375" style="256" customWidth="1"/>
    <col min="4" max="4" width="23.44140625" style="136" customWidth="1"/>
    <col min="5" max="5" width="8.88671875" style="205" customWidth="1"/>
    <col min="6" max="6" width="8.88671875" style="256"/>
    <col min="7" max="8" width="8.88671875" style="205"/>
    <col min="9" max="9" width="22.33203125" style="256" customWidth="1"/>
    <col min="10" max="10" width="9.109375" style="256" customWidth="1"/>
    <col min="11" max="16384" width="8.88671875" style="256"/>
  </cols>
  <sheetData>
    <row r="1" spans="1:13" ht="18" x14ac:dyDescent="0.35">
      <c r="A1" s="220"/>
      <c r="B1" s="220"/>
      <c r="C1" s="220"/>
      <c r="D1" s="135" t="s">
        <v>218</v>
      </c>
      <c r="E1" s="220"/>
      <c r="G1" s="45"/>
      <c r="H1" s="45"/>
      <c r="I1" s="46"/>
      <c r="J1" s="45"/>
    </row>
    <row r="2" spans="1:13" x14ac:dyDescent="0.3">
      <c r="A2" s="14" t="s">
        <v>132</v>
      </c>
      <c r="B2" s="14"/>
      <c r="C2" s="11"/>
      <c r="D2" s="137"/>
      <c r="E2" s="11"/>
      <c r="F2" s="23"/>
      <c r="G2" s="20" t="s">
        <v>133</v>
      </c>
      <c r="H2" s="20"/>
      <c r="I2" s="43"/>
      <c r="J2" s="44"/>
      <c r="M2" s="256" t="s">
        <v>217</v>
      </c>
    </row>
    <row r="3" spans="1:13" x14ac:dyDescent="0.3">
      <c r="A3" s="40" t="s">
        <v>46</v>
      </c>
      <c r="B3" s="40" t="s">
        <v>0</v>
      </c>
      <c r="C3" s="40" t="s">
        <v>47</v>
      </c>
      <c r="D3" s="134" t="s">
        <v>48</v>
      </c>
      <c r="E3" s="41" t="s">
        <v>49</v>
      </c>
      <c r="G3" s="40" t="s">
        <v>46</v>
      </c>
      <c r="H3" s="40" t="s">
        <v>0</v>
      </c>
      <c r="I3" s="48" t="s">
        <v>134</v>
      </c>
      <c r="J3" s="22" t="s">
        <v>49</v>
      </c>
      <c r="M3" s="256" t="s">
        <v>277</v>
      </c>
    </row>
    <row r="4" spans="1:13" x14ac:dyDescent="0.3">
      <c r="A4" s="210">
        <v>5709</v>
      </c>
      <c r="B4" s="220" t="s">
        <v>2</v>
      </c>
      <c r="C4" s="248" t="s">
        <v>220</v>
      </c>
      <c r="D4" s="27">
        <v>32112</v>
      </c>
      <c r="E4" s="323">
        <f>7.978793+1.050329</f>
        <v>9.0291219999999992</v>
      </c>
      <c r="F4" s="218"/>
      <c r="G4" s="24">
        <v>5709</v>
      </c>
      <c r="H4" s="220" t="s">
        <v>2</v>
      </c>
      <c r="I4" s="220" t="s">
        <v>279</v>
      </c>
      <c r="J4" s="209">
        <v>1.463217</v>
      </c>
      <c r="K4" s="219"/>
      <c r="M4" s="256" t="s">
        <v>219</v>
      </c>
    </row>
    <row r="5" spans="1:13" x14ac:dyDescent="0.3">
      <c r="A5" s="210">
        <v>5709</v>
      </c>
      <c r="B5" s="220" t="s">
        <v>2</v>
      </c>
      <c r="C5" s="246"/>
      <c r="D5" s="27">
        <v>31959</v>
      </c>
      <c r="E5" s="323">
        <f>0.008197+0.097403</f>
        <v>0.1056</v>
      </c>
      <c r="F5" s="218"/>
      <c r="G5" s="179"/>
      <c r="H5" s="179"/>
      <c r="I5" s="179"/>
      <c r="J5" s="169">
        <f>SUM(J4)</f>
        <v>1.463217</v>
      </c>
      <c r="K5" s="219"/>
      <c r="M5" s="256" t="s">
        <v>278</v>
      </c>
    </row>
    <row r="6" spans="1:13" x14ac:dyDescent="0.3">
      <c r="A6" s="210">
        <v>5709</v>
      </c>
      <c r="B6" s="220" t="s">
        <v>2</v>
      </c>
      <c r="C6" s="246"/>
      <c r="D6" s="27">
        <v>23924</v>
      </c>
      <c r="E6" s="323">
        <f>0.239964+0.315485</f>
        <v>0.55544900000000008</v>
      </c>
      <c r="F6" s="218"/>
      <c r="G6" s="24">
        <v>5407</v>
      </c>
      <c r="H6" s="220" t="s">
        <v>40</v>
      </c>
      <c r="I6" s="220" t="s">
        <v>280</v>
      </c>
      <c r="J6" s="209">
        <v>14.87828</v>
      </c>
      <c r="K6" s="219"/>
    </row>
    <row r="7" spans="1:13" x14ac:dyDescent="0.3">
      <c r="A7" s="210">
        <v>5709</v>
      </c>
      <c r="B7" s="220" t="s">
        <v>2</v>
      </c>
      <c r="C7" s="246" t="s">
        <v>227</v>
      </c>
      <c r="D7" s="324">
        <v>41955</v>
      </c>
      <c r="E7" s="323">
        <f>1.050329+0.097403+0.315485</f>
        <v>1.463217</v>
      </c>
      <c r="F7" s="218"/>
      <c r="G7" s="24">
        <v>5529</v>
      </c>
      <c r="H7" s="220" t="s">
        <v>40</v>
      </c>
      <c r="I7" s="220" t="s">
        <v>281</v>
      </c>
      <c r="J7" s="29">
        <v>11.37724</v>
      </c>
      <c r="K7" s="219"/>
    </row>
    <row r="8" spans="1:13" x14ac:dyDescent="0.3">
      <c r="A8" s="210"/>
      <c r="B8" s="220"/>
      <c r="C8" s="246"/>
      <c r="D8" s="27"/>
      <c r="E8" s="209">
        <f>SUM(E4:E7)</f>
        <v>11.153388</v>
      </c>
      <c r="F8" s="218"/>
      <c r="G8" s="38">
        <v>5529</v>
      </c>
      <c r="H8" s="28" t="s">
        <v>40</v>
      </c>
      <c r="I8" s="326" t="s">
        <v>255</v>
      </c>
      <c r="J8" s="244">
        <v>0.653667</v>
      </c>
      <c r="K8" s="219"/>
    </row>
    <row r="9" spans="1:13" x14ac:dyDescent="0.3">
      <c r="A9" s="210">
        <v>5710</v>
      </c>
      <c r="B9" s="220" t="s">
        <v>2</v>
      </c>
      <c r="C9" s="325" t="s">
        <v>223</v>
      </c>
      <c r="D9" s="27">
        <v>31564</v>
      </c>
      <c r="E9" s="29">
        <v>2.3000440000000002</v>
      </c>
      <c r="F9" s="218"/>
      <c r="G9" s="38">
        <v>5529</v>
      </c>
      <c r="H9" s="220" t="s">
        <v>40</v>
      </c>
      <c r="I9" s="24" t="s">
        <v>281</v>
      </c>
      <c r="J9" s="29">
        <v>1.9090000000000001E-3</v>
      </c>
      <c r="K9" s="219"/>
    </row>
    <row r="10" spans="1:13" x14ac:dyDescent="0.3">
      <c r="A10" s="210">
        <v>5710</v>
      </c>
      <c r="B10" s="220" t="s">
        <v>2</v>
      </c>
      <c r="C10" s="325" t="s">
        <v>222</v>
      </c>
      <c r="D10" s="220" t="s">
        <v>221</v>
      </c>
      <c r="E10" s="221">
        <v>3.4067980000000002</v>
      </c>
      <c r="F10" s="218"/>
      <c r="G10" s="24">
        <v>5529</v>
      </c>
      <c r="H10" s="220" t="s">
        <v>40</v>
      </c>
      <c r="I10" s="24" t="s">
        <v>255</v>
      </c>
      <c r="J10" s="29">
        <v>1.9090000000000001E-3</v>
      </c>
    </row>
    <row r="11" spans="1:13" x14ac:dyDescent="0.3">
      <c r="A11" s="210"/>
      <c r="B11" s="220"/>
      <c r="C11" s="248"/>
      <c r="D11" s="27"/>
      <c r="E11" s="209">
        <f>SUM(E9:E10)</f>
        <v>5.706842</v>
      </c>
      <c r="F11" s="218"/>
      <c r="G11" s="38"/>
      <c r="H11" s="220"/>
      <c r="I11" s="38"/>
      <c r="J11" s="209">
        <f>SUM(J7:J10)</f>
        <v>12.034725</v>
      </c>
    </row>
    <row r="12" spans="1:13" ht="28.8" x14ac:dyDescent="0.3">
      <c r="A12" s="210">
        <v>5713</v>
      </c>
      <c r="B12" s="220" t="s">
        <v>2</v>
      </c>
      <c r="C12" s="248" t="s">
        <v>224</v>
      </c>
      <c r="D12" s="27">
        <v>31444</v>
      </c>
      <c r="E12" s="209">
        <v>4.4819000000000004</v>
      </c>
      <c r="F12" s="218"/>
      <c r="G12" s="38">
        <v>5531</v>
      </c>
      <c r="H12" s="220" t="s">
        <v>40</v>
      </c>
      <c r="I12" s="38" t="s">
        <v>255</v>
      </c>
      <c r="J12" s="209">
        <v>1.2525740000000001</v>
      </c>
      <c r="K12" s="219"/>
    </row>
    <row r="13" spans="1:13" x14ac:dyDescent="0.3">
      <c r="A13" s="210">
        <v>5714</v>
      </c>
      <c r="B13" s="220" t="s">
        <v>2</v>
      </c>
      <c r="C13" s="248" t="s">
        <v>228</v>
      </c>
      <c r="D13" s="27">
        <v>32905</v>
      </c>
      <c r="E13" s="209">
        <v>2.1332990000000001</v>
      </c>
      <c r="F13" s="218"/>
      <c r="G13" s="38">
        <v>5532</v>
      </c>
      <c r="H13" s="220" t="s">
        <v>40</v>
      </c>
      <c r="I13" s="38" t="s">
        <v>282</v>
      </c>
      <c r="J13" s="209">
        <v>9.958024</v>
      </c>
      <c r="K13" s="219"/>
    </row>
    <row r="14" spans="1:13" ht="28.8" x14ac:dyDescent="0.3">
      <c r="A14" s="210">
        <v>5715</v>
      </c>
      <c r="B14" s="220" t="s">
        <v>2</v>
      </c>
      <c r="C14" s="248" t="s">
        <v>225</v>
      </c>
      <c r="D14" s="27">
        <v>34669</v>
      </c>
      <c r="E14" s="209">
        <v>11.14188</v>
      </c>
      <c r="F14" s="218"/>
      <c r="G14" s="38">
        <v>5534</v>
      </c>
      <c r="H14" s="28" t="s">
        <v>40</v>
      </c>
      <c r="I14" s="38" t="s">
        <v>280</v>
      </c>
      <c r="J14" s="209">
        <v>31.18299</v>
      </c>
      <c r="K14" s="219"/>
    </row>
    <row r="15" spans="1:13" x14ac:dyDescent="0.3">
      <c r="A15" s="210">
        <v>5799</v>
      </c>
      <c r="B15" s="220" t="s">
        <v>2</v>
      </c>
      <c r="C15" s="248" t="s">
        <v>229</v>
      </c>
      <c r="D15" s="27">
        <v>34335</v>
      </c>
      <c r="E15" s="209">
        <v>0.21804699999999999</v>
      </c>
      <c r="F15" s="218"/>
      <c r="G15" s="38">
        <v>5555</v>
      </c>
      <c r="H15" s="28" t="s">
        <v>40</v>
      </c>
      <c r="I15" s="326" t="s">
        <v>264</v>
      </c>
      <c r="J15" s="244">
        <v>0.27019599999999999</v>
      </c>
      <c r="K15" s="219"/>
    </row>
    <row r="16" spans="1:13" ht="28.8" x14ac:dyDescent="0.3">
      <c r="A16" s="210">
        <v>5863</v>
      </c>
      <c r="B16" s="220" t="s">
        <v>2</v>
      </c>
      <c r="C16" s="248" t="s">
        <v>226</v>
      </c>
      <c r="D16" s="27">
        <v>31107</v>
      </c>
      <c r="E16" s="209">
        <v>35.758699999999997</v>
      </c>
      <c r="F16" s="218"/>
      <c r="G16" s="220">
        <v>5555</v>
      </c>
      <c r="H16" s="220" t="s">
        <v>40</v>
      </c>
      <c r="I16" s="220" t="s">
        <v>283</v>
      </c>
      <c r="J16" s="244">
        <v>2.3097310000000002</v>
      </c>
      <c r="K16" s="219"/>
    </row>
    <row r="17" spans="1:11" x14ac:dyDescent="0.3">
      <c r="A17" s="210">
        <v>5864</v>
      </c>
      <c r="B17" s="220" t="s">
        <v>2</v>
      </c>
      <c r="C17" s="248"/>
      <c r="D17" s="27">
        <v>31959</v>
      </c>
      <c r="E17" s="221">
        <f>9.976089+1.047983</f>
        <v>11.024072</v>
      </c>
      <c r="F17" s="218"/>
      <c r="G17" s="220"/>
      <c r="H17" s="220"/>
      <c r="I17" s="220"/>
      <c r="J17" s="47">
        <f>SUM(J15:J16)</f>
        <v>2.5799270000000001</v>
      </c>
      <c r="K17" s="219"/>
    </row>
    <row r="18" spans="1:11" x14ac:dyDescent="0.3">
      <c r="A18" s="210">
        <v>5864</v>
      </c>
      <c r="B18" s="220" t="s">
        <v>2</v>
      </c>
      <c r="C18" s="248"/>
      <c r="D18" s="27">
        <v>32448</v>
      </c>
      <c r="E18" s="221">
        <f>2.871939+0.36503</f>
        <v>3.2369689999999998</v>
      </c>
      <c r="F18" s="218"/>
      <c r="G18" s="220">
        <v>5641</v>
      </c>
      <c r="H18" s="220" t="s">
        <v>40</v>
      </c>
      <c r="I18" s="220" t="s">
        <v>280</v>
      </c>
      <c r="J18" s="47">
        <v>6.6468230000000004</v>
      </c>
      <c r="K18" s="219"/>
    </row>
    <row r="19" spans="1:11" ht="28.8" x14ac:dyDescent="0.3">
      <c r="A19" s="210">
        <v>5864</v>
      </c>
      <c r="B19" s="220" t="s">
        <v>2</v>
      </c>
      <c r="C19" s="246" t="s">
        <v>230</v>
      </c>
      <c r="D19" s="324">
        <v>41325</v>
      </c>
      <c r="E19" s="221">
        <f>0.000044+1.047983+0.36503</f>
        <v>1.413057</v>
      </c>
      <c r="F19" s="218"/>
      <c r="G19" s="38">
        <v>5655</v>
      </c>
      <c r="H19" s="220" t="s">
        <v>40</v>
      </c>
      <c r="I19" s="38" t="s">
        <v>284</v>
      </c>
      <c r="J19" s="47">
        <v>2.297091</v>
      </c>
      <c r="K19" s="219"/>
    </row>
    <row r="20" spans="1:11" x14ac:dyDescent="0.3">
      <c r="A20" s="210"/>
      <c r="B20" s="220"/>
      <c r="C20" s="246"/>
      <c r="D20" s="27"/>
      <c r="E20" s="209">
        <f>SUM(E17:E19)</f>
        <v>15.674098000000001</v>
      </c>
      <c r="F20" s="218"/>
      <c r="G20" s="337"/>
      <c r="H20" s="179"/>
      <c r="I20" s="337"/>
      <c r="J20" s="169">
        <f>SUM(J6+J11,J12,J13,J14,J17,J18,J19)</f>
        <v>80.830433999999983</v>
      </c>
      <c r="K20" s="219"/>
    </row>
    <row r="21" spans="1:11" ht="28.8" x14ac:dyDescent="0.3">
      <c r="A21" s="210">
        <v>5867</v>
      </c>
      <c r="B21" s="220" t="s">
        <v>2</v>
      </c>
      <c r="C21" s="327" t="s">
        <v>231</v>
      </c>
      <c r="D21" s="29"/>
      <c r="E21" s="244">
        <v>7.1274000000000004E-2</v>
      </c>
      <c r="G21" s="19"/>
      <c r="H21" s="19"/>
      <c r="I21" s="19"/>
      <c r="J21" s="334"/>
    </row>
    <row r="22" spans="1:11" ht="28.8" x14ac:dyDescent="0.3">
      <c r="A22" s="210">
        <v>5867</v>
      </c>
      <c r="B22" s="220" t="s">
        <v>2</v>
      </c>
      <c r="C22" s="246" t="s">
        <v>232</v>
      </c>
      <c r="D22" s="27"/>
      <c r="E22" s="29">
        <v>0.36954399999999998</v>
      </c>
      <c r="G22" s="19"/>
      <c r="H22" s="19"/>
      <c r="I22" s="19"/>
      <c r="J22" s="334"/>
    </row>
    <row r="23" spans="1:11" ht="28.8" x14ac:dyDescent="0.3">
      <c r="A23" s="210">
        <v>5867</v>
      </c>
      <c r="B23" s="220" t="s">
        <v>2</v>
      </c>
      <c r="C23" s="246" t="s">
        <v>233</v>
      </c>
      <c r="D23" s="27"/>
      <c r="E23" s="29">
        <v>0.13131100000000001</v>
      </c>
      <c r="G23" s="19"/>
      <c r="H23" s="19"/>
      <c r="I23" s="19"/>
      <c r="J23" s="335"/>
    </row>
    <row r="24" spans="1:11" ht="28.8" x14ac:dyDescent="0.3">
      <c r="A24" s="210">
        <v>5867</v>
      </c>
      <c r="B24" s="220" t="s">
        <v>2</v>
      </c>
      <c r="C24" s="246" t="s">
        <v>234</v>
      </c>
      <c r="D24" s="27"/>
      <c r="E24" s="221">
        <v>4.6175110000000004</v>
      </c>
      <c r="G24" s="19"/>
      <c r="H24" s="19"/>
      <c r="I24" s="19"/>
      <c r="J24" s="334"/>
    </row>
    <row r="25" spans="1:11" x14ac:dyDescent="0.3">
      <c r="A25" s="210"/>
      <c r="B25" s="220"/>
      <c r="C25" s="246"/>
      <c r="D25" s="27"/>
      <c r="E25" s="209">
        <f>SUM(E21:E24)</f>
        <v>5.1896400000000007</v>
      </c>
      <c r="G25" s="19"/>
      <c r="H25" s="19"/>
      <c r="I25" s="19"/>
      <c r="J25" s="334"/>
    </row>
    <row r="26" spans="1:11" ht="28.8" x14ac:dyDescent="0.3">
      <c r="A26" s="210">
        <v>5871</v>
      </c>
      <c r="B26" s="220" t="s">
        <v>2</v>
      </c>
      <c r="C26" s="246" t="s">
        <v>235</v>
      </c>
      <c r="D26" s="27">
        <v>31107</v>
      </c>
      <c r="E26" s="29">
        <v>3.0280070000000001</v>
      </c>
      <c r="G26" s="19"/>
      <c r="H26" s="19"/>
      <c r="I26" s="19"/>
      <c r="J26" s="334"/>
    </row>
    <row r="27" spans="1:11" x14ac:dyDescent="0.3">
      <c r="A27" s="210">
        <v>5871</v>
      </c>
      <c r="B27" s="220" t="s">
        <v>2</v>
      </c>
      <c r="C27" s="246"/>
      <c r="D27" s="27">
        <v>25324</v>
      </c>
      <c r="E27" s="244">
        <v>1.640852</v>
      </c>
      <c r="G27" s="19"/>
      <c r="H27" s="19"/>
      <c r="I27" s="19"/>
      <c r="J27" s="334"/>
    </row>
    <row r="28" spans="1:11" x14ac:dyDescent="0.3">
      <c r="A28" s="210"/>
      <c r="B28" s="220"/>
      <c r="C28" s="246"/>
      <c r="D28" s="27"/>
      <c r="E28" s="209">
        <f>SUM(E26:E27)</f>
        <v>4.6688590000000003</v>
      </c>
      <c r="G28" s="19"/>
      <c r="H28" s="19"/>
      <c r="I28" s="19"/>
      <c r="J28" s="334"/>
    </row>
    <row r="29" spans="1:11" ht="28.8" x14ac:dyDescent="0.3">
      <c r="A29" s="210">
        <v>5872</v>
      </c>
      <c r="B29" s="220" t="s">
        <v>2</v>
      </c>
      <c r="C29" s="246" t="s">
        <v>236</v>
      </c>
      <c r="D29" s="27">
        <v>42255</v>
      </c>
      <c r="E29" s="29">
        <v>7.2717140000000002</v>
      </c>
      <c r="G29" s="19"/>
      <c r="H29" s="19"/>
      <c r="I29" s="19"/>
      <c r="J29" s="334"/>
    </row>
    <row r="30" spans="1:11" ht="28.8" x14ac:dyDescent="0.3">
      <c r="A30" s="210">
        <v>5872</v>
      </c>
      <c r="B30" s="220" t="s">
        <v>2</v>
      </c>
      <c r="C30" s="246" t="s">
        <v>237</v>
      </c>
      <c r="D30" s="27">
        <v>36100</v>
      </c>
      <c r="E30" s="29">
        <v>0.146926</v>
      </c>
      <c r="G30" s="19"/>
      <c r="H30" s="19"/>
      <c r="I30" s="19"/>
      <c r="J30" s="336"/>
    </row>
    <row r="31" spans="1:11" x14ac:dyDescent="0.3">
      <c r="A31" s="210"/>
      <c r="B31" s="220"/>
      <c r="C31" s="246"/>
      <c r="D31" s="27"/>
      <c r="E31" s="209">
        <f>SUM(E29:E30)</f>
        <v>7.4186399999999999</v>
      </c>
      <c r="G31" s="19"/>
      <c r="H31" s="19"/>
      <c r="I31" s="19"/>
      <c r="J31" s="334"/>
    </row>
    <row r="32" spans="1:11" x14ac:dyDescent="0.3">
      <c r="A32" s="210">
        <v>5877</v>
      </c>
      <c r="B32" s="220" t="s">
        <v>2</v>
      </c>
      <c r="C32" s="246" t="s">
        <v>238</v>
      </c>
      <c r="D32" s="27">
        <v>23529</v>
      </c>
      <c r="E32" s="209">
        <v>2.378851</v>
      </c>
      <c r="G32" s="19"/>
      <c r="H32" s="19"/>
      <c r="I32" s="19"/>
      <c r="J32" s="334"/>
    </row>
    <row r="33" spans="1:10" ht="28.8" x14ac:dyDescent="0.3">
      <c r="A33" s="210">
        <v>5879</v>
      </c>
      <c r="B33" s="220" t="s">
        <v>2</v>
      </c>
      <c r="C33" s="246" t="s">
        <v>239</v>
      </c>
      <c r="D33" s="27">
        <v>40863</v>
      </c>
      <c r="E33" s="209">
        <v>0.26979300000000001</v>
      </c>
      <c r="G33" s="19"/>
      <c r="H33" s="19"/>
      <c r="I33" s="333"/>
      <c r="J33" s="336"/>
    </row>
    <row r="34" spans="1:10" x14ac:dyDescent="0.3">
      <c r="A34" s="182"/>
      <c r="B34" s="211"/>
      <c r="C34" s="182"/>
      <c r="D34" s="139"/>
      <c r="E34" s="153">
        <f>SUM(E8+(SUM(E11:E16))+E20+E25+E28+(SUM(E31:E33)))</f>
        <v>106.19393699999999</v>
      </c>
    </row>
    <row r="35" spans="1:10" ht="28.8" x14ac:dyDescent="0.3">
      <c r="A35" s="206">
        <v>5401</v>
      </c>
      <c r="B35" s="220" t="s">
        <v>40</v>
      </c>
      <c r="C35" s="248" t="s">
        <v>240</v>
      </c>
      <c r="D35" s="27">
        <v>36008</v>
      </c>
      <c r="E35" s="29">
        <v>11.18066</v>
      </c>
    </row>
    <row r="36" spans="1:10" ht="28.8" x14ac:dyDescent="0.3">
      <c r="A36" s="206">
        <v>5401</v>
      </c>
      <c r="B36" s="220" t="s">
        <v>40</v>
      </c>
      <c r="C36" s="248" t="s">
        <v>241</v>
      </c>
      <c r="D36" s="27">
        <v>35947</v>
      </c>
      <c r="E36" s="29">
        <v>0.60522200000000004</v>
      </c>
    </row>
    <row r="37" spans="1:10" x14ac:dyDescent="0.3">
      <c r="A37" s="206">
        <v>5401</v>
      </c>
      <c r="B37" s="220" t="s">
        <v>40</v>
      </c>
      <c r="C37" s="248" t="s">
        <v>242</v>
      </c>
      <c r="D37" s="27">
        <v>25934</v>
      </c>
      <c r="E37" s="29">
        <v>0.273976</v>
      </c>
    </row>
    <row r="38" spans="1:10" ht="28.8" x14ac:dyDescent="0.3">
      <c r="A38" s="206">
        <v>5401</v>
      </c>
      <c r="B38" s="220" t="s">
        <v>40</v>
      </c>
      <c r="C38" s="248" t="s">
        <v>243</v>
      </c>
      <c r="D38" s="27">
        <v>37926</v>
      </c>
      <c r="E38" s="29">
        <v>5.3191000000000002E-2</v>
      </c>
    </row>
    <row r="39" spans="1:10" ht="28.8" x14ac:dyDescent="0.3">
      <c r="A39" s="206">
        <v>5401</v>
      </c>
      <c r="B39" s="220" t="s">
        <v>40</v>
      </c>
      <c r="C39" s="248" t="s">
        <v>240</v>
      </c>
      <c r="D39" s="27">
        <v>36008</v>
      </c>
      <c r="E39" s="29">
        <v>3.7033000000000003E-2</v>
      </c>
    </row>
    <row r="40" spans="1:10" x14ac:dyDescent="0.3">
      <c r="A40" s="206">
        <v>5401</v>
      </c>
      <c r="B40" s="220" t="s">
        <v>40</v>
      </c>
      <c r="C40" s="248" t="s">
        <v>242</v>
      </c>
      <c r="D40" s="27">
        <v>25934</v>
      </c>
      <c r="E40" s="29">
        <v>3.7033000000000003E-2</v>
      </c>
    </row>
    <row r="41" spans="1:10" ht="28.8" x14ac:dyDescent="0.3">
      <c r="A41" s="206">
        <v>5401</v>
      </c>
      <c r="B41" s="220" t="s">
        <v>40</v>
      </c>
      <c r="C41" s="248" t="s">
        <v>240</v>
      </c>
      <c r="D41" s="27">
        <v>36008</v>
      </c>
      <c r="E41" s="29">
        <v>1.405E-3</v>
      </c>
    </row>
    <row r="42" spans="1:10" ht="28.8" x14ac:dyDescent="0.3">
      <c r="A42" s="206">
        <v>5401</v>
      </c>
      <c r="B42" s="220" t="s">
        <v>40</v>
      </c>
      <c r="C42" s="248" t="s">
        <v>243</v>
      </c>
      <c r="D42" s="27">
        <v>37926</v>
      </c>
      <c r="E42" s="29">
        <v>1.405E-3</v>
      </c>
    </row>
    <row r="43" spans="1:10" x14ac:dyDescent="0.3">
      <c r="A43" s="206">
        <v>5401</v>
      </c>
      <c r="B43" s="220" t="s">
        <v>40</v>
      </c>
      <c r="C43" s="248" t="s">
        <v>242</v>
      </c>
      <c r="D43" s="27">
        <v>25934</v>
      </c>
      <c r="E43" s="29">
        <v>1.5735980000000001</v>
      </c>
    </row>
    <row r="44" spans="1:10" ht="28.8" x14ac:dyDescent="0.3">
      <c r="A44" s="206">
        <v>5401</v>
      </c>
      <c r="B44" s="220" t="s">
        <v>40</v>
      </c>
      <c r="C44" s="248" t="s">
        <v>243</v>
      </c>
      <c r="D44" s="27">
        <v>37926</v>
      </c>
      <c r="E44" s="29">
        <v>1.5735980000000001</v>
      </c>
    </row>
    <row r="45" spans="1:10" ht="28.8" x14ac:dyDescent="0.3">
      <c r="A45" s="206">
        <v>5401</v>
      </c>
      <c r="B45" s="220" t="s">
        <v>40</v>
      </c>
      <c r="C45" s="248" t="s">
        <v>240</v>
      </c>
      <c r="D45" s="27">
        <v>36008</v>
      </c>
      <c r="E45" s="29">
        <v>2.6809999999999998E-3</v>
      </c>
    </row>
    <row r="46" spans="1:10" x14ac:dyDescent="0.3">
      <c r="A46" s="206">
        <v>5401</v>
      </c>
      <c r="B46" s="220" t="s">
        <v>40</v>
      </c>
      <c r="C46" s="248" t="s">
        <v>242</v>
      </c>
      <c r="D46" s="27">
        <v>25934</v>
      </c>
      <c r="E46" s="29">
        <v>2.6809999999999998E-3</v>
      </c>
    </row>
    <row r="47" spans="1:10" ht="28.8" x14ac:dyDescent="0.3">
      <c r="A47" s="206">
        <v>5401</v>
      </c>
      <c r="B47" s="220" t="s">
        <v>40</v>
      </c>
      <c r="C47" s="248" t="s">
        <v>243</v>
      </c>
      <c r="D47" s="27">
        <v>37926</v>
      </c>
      <c r="E47" s="29">
        <v>2.6809999999999998E-3</v>
      </c>
    </row>
    <row r="48" spans="1:10" x14ac:dyDescent="0.3">
      <c r="A48" s="206"/>
      <c r="B48" s="220"/>
      <c r="C48" s="248"/>
      <c r="D48" s="27"/>
      <c r="E48" s="209">
        <f>SUM(E35:E47)</f>
        <v>15.345164</v>
      </c>
    </row>
    <row r="49" spans="1:5" x14ac:dyDescent="0.3">
      <c r="A49" s="206">
        <v>5409</v>
      </c>
      <c r="B49" s="220" t="s">
        <v>40</v>
      </c>
      <c r="C49" s="248" t="s">
        <v>269</v>
      </c>
      <c r="D49" s="27">
        <v>31199</v>
      </c>
      <c r="E49" s="209">
        <v>1.630279</v>
      </c>
    </row>
    <row r="50" spans="1:5" ht="28.8" x14ac:dyDescent="0.3">
      <c r="A50" s="206">
        <v>5410</v>
      </c>
      <c r="B50" s="220" t="s">
        <v>40</v>
      </c>
      <c r="C50" s="248" t="s">
        <v>244</v>
      </c>
      <c r="D50" s="27">
        <v>34608</v>
      </c>
      <c r="E50" s="209">
        <v>0.96095699999999995</v>
      </c>
    </row>
    <row r="51" spans="1:5" ht="28.8" x14ac:dyDescent="0.3">
      <c r="A51" s="206">
        <v>5412</v>
      </c>
      <c r="B51" s="220" t="s">
        <v>40</v>
      </c>
      <c r="C51" s="248" t="s">
        <v>245</v>
      </c>
      <c r="D51" s="27">
        <v>35278</v>
      </c>
      <c r="E51" s="209">
        <v>6.0164869999999997</v>
      </c>
    </row>
    <row r="52" spans="1:5" ht="28.8" x14ac:dyDescent="0.3">
      <c r="A52" s="206">
        <v>5416</v>
      </c>
      <c r="B52" s="220" t="s">
        <v>40</v>
      </c>
      <c r="C52" s="248" t="s">
        <v>246</v>
      </c>
      <c r="D52" s="27">
        <v>36982</v>
      </c>
      <c r="E52" s="209">
        <v>8.4279999999999994E-2</v>
      </c>
    </row>
    <row r="53" spans="1:5" ht="28.8" x14ac:dyDescent="0.3">
      <c r="A53" s="206">
        <v>5419</v>
      </c>
      <c r="B53" s="220" t="s">
        <v>40</v>
      </c>
      <c r="C53" s="248" t="s">
        <v>247</v>
      </c>
      <c r="D53" s="27">
        <v>37288</v>
      </c>
      <c r="E53" s="221">
        <v>4.9165830000000001</v>
      </c>
    </row>
    <row r="54" spans="1:5" ht="28.8" x14ac:dyDescent="0.3">
      <c r="A54" s="206">
        <v>5419</v>
      </c>
      <c r="B54" s="220" t="s">
        <v>40</v>
      </c>
      <c r="C54" s="248" t="s">
        <v>247</v>
      </c>
      <c r="D54" s="27">
        <v>37288</v>
      </c>
      <c r="E54" s="221">
        <v>0.46913899999999997</v>
      </c>
    </row>
    <row r="55" spans="1:5" x14ac:dyDescent="0.3">
      <c r="A55" s="206">
        <v>5419</v>
      </c>
      <c r="B55" s="220" t="s">
        <v>40</v>
      </c>
      <c r="C55" s="248" t="s">
        <v>242</v>
      </c>
      <c r="D55" s="27">
        <v>28491</v>
      </c>
      <c r="E55" s="221">
        <v>0.46913899999999997</v>
      </c>
    </row>
    <row r="56" spans="1:5" x14ac:dyDescent="0.3">
      <c r="A56" s="206"/>
      <c r="B56" s="220"/>
      <c r="C56" s="248"/>
      <c r="D56" s="27"/>
      <c r="E56" s="209">
        <f>SUM(E53:E55)</f>
        <v>5.8548610000000005</v>
      </c>
    </row>
    <row r="57" spans="1:5" ht="28.8" x14ac:dyDescent="0.3">
      <c r="A57" s="206">
        <v>5425</v>
      </c>
      <c r="B57" s="220" t="s">
        <v>40</v>
      </c>
      <c r="C57" s="248" t="s">
        <v>248</v>
      </c>
      <c r="D57" s="27">
        <v>31929</v>
      </c>
      <c r="E57" s="209">
        <v>4.86E-4</v>
      </c>
    </row>
    <row r="58" spans="1:5" x14ac:dyDescent="0.3">
      <c r="A58" s="206">
        <v>5429</v>
      </c>
      <c r="B58" s="220" t="s">
        <v>40</v>
      </c>
      <c r="C58" s="248" t="s">
        <v>270</v>
      </c>
      <c r="D58" s="27">
        <v>38860</v>
      </c>
      <c r="E58" s="209">
        <v>5.2153090000000004</v>
      </c>
    </row>
    <row r="59" spans="1:5" ht="28.8" x14ac:dyDescent="0.3">
      <c r="A59" s="206">
        <v>5433</v>
      </c>
      <c r="B59" s="220" t="s">
        <v>40</v>
      </c>
      <c r="C59" s="248" t="s">
        <v>249</v>
      </c>
      <c r="D59" s="27">
        <v>40313</v>
      </c>
      <c r="E59" s="221">
        <v>8.4499549999999992</v>
      </c>
    </row>
    <row r="60" spans="1:5" ht="28.8" x14ac:dyDescent="0.3">
      <c r="A60" s="206">
        <v>5433</v>
      </c>
      <c r="B60" s="220" t="s">
        <v>40</v>
      </c>
      <c r="C60" s="248" t="s">
        <v>250</v>
      </c>
      <c r="D60" s="27">
        <v>37469</v>
      </c>
      <c r="E60" s="29">
        <v>20.541720000000002</v>
      </c>
    </row>
    <row r="61" spans="1:5" x14ac:dyDescent="0.3">
      <c r="A61" s="206"/>
      <c r="B61" s="220"/>
      <c r="C61" s="248"/>
      <c r="D61" s="27"/>
      <c r="E61" s="209">
        <f>SUM(E59:E60)</f>
        <v>28.991675000000001</v>
      </c>
    </row>
    <row r="62" spans="1:5" ht="28.8" x14ac:dyDescent="0.3">
      <c r="A62" s="206">
        <v>5454</v>
      </c>
      <c r="B62" s="220" t="s">
        <v>40</v>
      </c>
      <c r="C62" s="248" t="s">
        <v>251</v>
      </c>
      <c r="D62" s="27">
        <v>38368</v>
      </c>
      <c r="E62" s="209">
        <v>0.19128600000000001</v>
      </c>
    </row>
    <row r="63" spans="1:5" ht="28.8" x14ac:dyDescent="0.3">
      <c r="A63" s="206">
        <v>5471</v>
      </c>
      <c r="B63" s="220" t="s">
        <v>40</v>
      </c>
      <c r="C63" s="248" t="s">
        <v>252</v>
      </c>
      <c r="D63" s="27">
        <v>29007</v>
      </c>
      <c r="E63" s="209">
        <v>3.1854469999999999</v>
      </c>
    </row>
    <row r="64" spans="1:5" ht="28.8" x14ac:dyDescent="0.3">
      <c r="A64" s="206">
        <v>5527</v>
      </c>
      <c r="B64" s="220" t="s">
        <v>40</v>
      </c>
      <c r="C64" s="248" t="s">
        <v>253</v>
      </c>
      <c r="D64" s="27">
        <v>37575</v>
      </c>
      <c r="E64" s="209">
        <v>1.5908519999999999</v>
      </c>
    </row>
    <row r="65" spans="1:5" ht="28.8" x14ac:dyDescent="0.3">
      <c r="A65" s="206">
        <v>5529</v>
      </c>
      <c r="B65" s="220" t="s">
        <v>40</v>
      </c>
      <c r="C65" s="248" t="s">
        <v>254</v>
      </c>
      <c r="D65" s="27">
        <v>37773</v>
      </c>
      <c r="E65" s="29">
        <v>1.242191</v>
      </c>
    </row>
    <row r="66" spans="1:5" ht="28.8" x14ac:dyDescent="0.3">
      <c r="A66" s="328">
        <v>5529</v>
      </c>
      <c r="B66" s="28" t="s">
        <v>40</v>
      </c>
      <c r="C66" s="330" t="s">
        <v>255</v>
      </c>
      <c r="D66" s="331">
        <v>43529</v>
      </c>
      <c r="E66" s="244">
        <v>0.65557600000000005</v>
      </c>
    </row>
    <row r="67" spans="1:5" x14ac:dyDescent="0.3">
      <c r="A67" s="206"/>
      <c r="B67" s="220"/>
      <c r="C67" s="248"/>
      <c r="D67" s="329"/>
      <c r="E67" s="209">
        <f>SUM(E65:E66)</f>
        <v>1.897767</v>
      </c>
    </row>
    <row r="68" spans="1:5" x14ac:dyDescent="0.3">
      <c r="A68" s="206">
        <v>5530</v>
      </c>
      <c r="B68" s="220" t="s">
        <v>40</v>
      </c>
      <c r="C68" s="248" t="s">
        <v>271</v>
      </c>
      <c r="D68" s="332">
        <v>41512</v>
      </c>
      <c r="E68" s="209">
        <v>3.6038760000000001</v>
      </c>
    </row>
    <row r="69" spans="1:5" ht="28.8" x14ac:dyDescent="0.3">
      <c r="A69" s="206">
        <v>5531</v>
      </c>
      <c r="B69" s="220" t="s">
        <v>40</v>
      </c>
      <c r="C69" s="248" t="s">
        <v>256</v>
      </c>
      <c r="D69" s="332">
        <v>36982</v>
      </c>
      <c r="E69" s="221">
        <v>3.7829739999999998</v>
      </c>
    </row>
    <row r="70" spans="1:5" ht="28.8" x14ac:dyDescent="0.3">
      <c r="A70" s="206">
        <v>5531</v>
      </c>
      <c r="B70" s="220" t="s">
        <v>40</v>
      </c>
      <c r="C70" s="248" t="s">
        <v>255</v>
      </c>
      <c r="D70" s="332">
        <v>43529</v>
      </c>
      <c r="E70" s="221">
        <v>1.2525740000000001</v>
      </c>
    </row>
    <row r="71" spans="1:5" x14ac:dyDescent="0.3">
      <c r="A71" s="206"/>
      <c r="B71" s="220"/>
      <c r="C71" s="248"/>
      <c r="D71" s="329"/>
      <c r="E71" s="209">
        <f>SUM(E69:E70)</f>
        <v>5.0355480000000004</v>
      </c>
    </row>
    <row r="72" spans="1:5" ht="28.8" x14ac:dyDescent="0.3">
      <c r="A72" s="206">
        <v>5532</v>
      </c>
      <c r="B72" s="220" t="s">
        <v>40</v>
      </c>
      <c r="C72" s="248" t="s">
        <v>257</v>
      </c>
      <c r="D72" s="332">
        <v>35947</v>
      </c>
      <c r="E72" s="221">
        <v>4.83521</v>
      </c>
    </row>
    <row r="73" spans="1:5" ht="28.8" x14ac:dyDescent="0.3">
      <c r="A73" s="206">
        <v>5532</v>
      </c>
      <c r="B73" s="220" t="s">
        <v>40</v>
      </c>
      <c r="C73" s="248" t="s">
        <v>258</v>
      </c>
      <c r="D73" s="332">
        <v>36069</v>
      </c>
      <c r="E73" s="221">
        <v>8.8684650000000005</v>
      </c>
    </row>
    <row r="74" spans="1:5" x14ac:dyDescent="0.3">
      <c r="A74" s="206"/>
      <c r="B74" s="220"/>
      <c r="C74" s="248"/>
      <c r="D74" s="329"/>
      <c r="E74" s="209">
        <f>SUM(E72:E73)</f>
        <v>13.703675</v>
      </c>
    </row>
    <row r="75" spans="1:5" ht="28.8" x14ac:dyDescent="0.3">
      <c r="A75" s="206">
        <v>5534</v>
      </c>
      <c r="B75" s="220" t="s">
        <v>40</v>
      </c>
      <c r="C75" s="248" t="s">
        <v>259</v>
      </c>
      <c r="D75" s="332">
        <v>36617</v>
      </c>
      <c r="E75" s="209">
        <v>24.441179999999999</v>
      </c>
    </row>
    <row r="76" spans="1:5" ht="28.8" x14ac:dyDescent="0.3">
      <c r="A76" s="206">
        <v>5535</v>
      </c>
      <c r="B76" s="220" t="s">
        <v>40</v>
      </c>
      <c r="C76" s="248" t="s">
        <v>260</v>
      </c>
      <c r="D76" s="332">
        <v>37408</v>
      </c>
      <c r="E76" s="209">
        <v>0.41520099999999999</v>
      </c>
    </row>
    <row r="77" spans="1:5" ht="28.8" x14ac:dyDescent="0.3">
      <c r="A77" s="206">
        <v>5536</v>
      </c>
      <c r="B77" s="220" t="s">
        <v>40</v>
      </c>
      <c r="C77" s="248" t="s">
        <v>261</v>
      </c>
      <c r="D77" s="332">
        <v>30590</v>
      </c>
      <c r="E77" s="209">
        <v>0.119701</v>
      </c>
    </row>
    <row r="78" spans="1:5" x14ac:dyDescent="0.3">
      <c r="A78" s="206">
        <v>5540</v>
      </c>
      <c r="B78" s="220" t="s">
        <v>40</v>
      </c>
      <c r="C78" s="248" t="s">
        <v>272</v>
      </c>
      <c r="D78" s="332">
        <v>36831</v>
      </c>
      <c r="E78" s="221">
        <v>5.6200020000000004</v>
      </c>
    </row>
    <row r="79" spans="1:5" x14ac:dyDescent="0.3">
      <c r="A79" s="206">
        <v>5540</v>
      </c>
      <c r="B79" s="220" t="s">
        <v>40</v>
      </c>
      <c r="C79" s="248" t="s">
        <v>273</v>
      </c>
      <c r="D79" s="332">
        <v>39216</v>
      </c>
      <c r="E79" s="221">
        <v>0.97778200000000004</v>
      </c>
    </row>
    <row r="80" spans="1:5" x14ac:dyDescent="0.3">
      <c r="A80" s="206"/>
      <c r="B80" s="220"/>
      <c r="C80" s="248"/>
      <c r="D80" s="329"/>
      <c r="E80" s="209">
        <f>SUM(E78:E79)</f>
        <v>6.5977840000000008</v>
      </c>
    </row>
    <row r="81" spans="1:5" ht="28.8" x14ac:dyDescent="0.3">
      <c r="A81" s="206">
        <v>5544</v>
      </c>
      <c r="B81" s="220" t="s">
        <v>40</v>
      </c>
      <c r="C81" s="248" t="s">
        <v>262</v>
      </c>
      <c r="D81" s="332">
        <v>37865</v>
      </c>
      <c r="E81" s="209">
        <v>7.5403999999999999E-2</v>
      </c>
    </row>
    <row r="82" spans="1:5" ht="28.8" x14ac:dyDescent="0.3">
      <c r="A82" s="206">
        <v>5548</v>
      </c>
      <c r="B82" s="220" t="s">
        <v>40</v>
      </c>
      <c r="C82" s="248" t="s">
        <v>263</v>
      </c>
      <c r="D82" s="332">
        <v>36770</v>
      </c>
      <c r="E82" s="209">
        <v>4.9677990000000003</v>
      </c>
    </row>
    <row r="83" spans="1:5" ht="28.8" x14ac:dyDescent="0.3">
      <c r="A83" s="206">
        <v>5555</v>
      </c>
      <c r="B83" s="220" t="s">
        <v>40</v>
      </c>
      <c r="C83" s="248" t="s">
        <v>264</v>
      </c>
      <c r="D83" s="332">
        <v>43272</v>
      </c>
      <c r="E83" s="209">
        <v>0.27019599999999999</v>
      </c>
    </row>
    <row r="84" spans="1:5" x14ac:dyDescent="0.3">
      <c r="A84" s="206">
        <v>5646</v>
      </c>
      <c r="B84" s="220" t="s">
        <v>40</v>
      </c>
      <c r="C84" s="248" t="s">
        <v>275</v>
      </c>
      <c r="D84" s="332">
        <v>41395</v>
      </c>
      <c r="E84" s="209">
        <v>0.239734</v>
      </c>
    </row>
    <row r="85" spans="1:5" x14ac:dyDescent="0.3">
      <c r="A85" s="206">
        <v>5650</v>
      </c>
      <c r="B85" s="220" t="s">
        <v>40</v>
      </c>
      <c r="C85" s="248" t="s">
        <v>276</v>
      </c>
      <c r="D85" s="332">
        <v>38848</v>
      </c>
      <c r="E85" s="221">
        <v>1.2430999999999999E-2</v>
      </c>
    </row>
    <row r="86" spans="1:5" ht="28.8" x14ac:dyDescent="0.3">
      <c r="A86" s="206">
        <v>5650</v>
      </c>
      <c r="B86" s="220" t="s">
        <v>40</v>
      </c>
      <c r="C86" s="248" t="s">
        <v>265</v>
      </c>
      <c r="D86" s="332">
        <v>43282</v>
      </c>
      <c r="E86" s="221">
        <v>1.816708</v>
      </c>
    </row>
    <row r="87" spans="1:5" x14ac:dyDescent="0.3">
      <c r="A87" s="206"/>
      <c r="B87" s="220"/>
      <c r="C87" s="248"/>
      <c r="D87" s="329"/>
      <c r="E87" s="209">
        <f>SUM(E85:E86)</f>
        <v>1.8291390000000001</v>
      </c>
    </row>
    <row r="88" spans="1:5" ht="28.8" x14ac:dyDescent="0.3">
      <c r="A88" s="206">
        <v>5651</v>
      </c>
      <c r="B88" s="220" t="s">
        <v>40</v>
      </c>
      <c r="C88" s="248" t="s">
        <v>266</v>
      </c>
      <c r="D88" s="332">
        <v>35309</v>
      </c>
      <c r="E88" s="221">
        <v>0.269179</v>
      </c>
    </row>
    <row r="89" spans="1:5" ht="28.8" x14ac:dyDescent="0.3">
      <c r="A89" s="206">
        <v>5651</v>
      </c>
      <c r="B89" s="220" t="s">
        <v>40</v>
      </c>
      <c r="C89" s="248" t="s">
        <v>267</v>
      </c>
      <c r="D89" s="332">
        <v>37408</v>
      </c>
      <c r="E89" s="221">
        <v>2.2937949999999998</v>
      </c>
    </row>
    <row r="90" spans="1:5" ht="28.8" x14ac:dyDescent="0.3">
      <c r="A90" s="206">
        <v>5651</v>
      </c>
      <c r="B90" s="220" t="s">
        <v>40</v>
      </c>
      <c r="C90" s="248" t="s">
        <v>268</v>
      </c>
      <c r="D90" s="332">
        <v>37377</v>
      </c>
      <c r="E90" s="221">
        <v>4.5607069999999998</v>
      </c>
    </row>
    <row r="91" spans="1:5" x14ac:dyDescent="0.3">
      <c r="A91" s="206"/>
      <c r="B91" s="220"/>
      <c r="C91" s="248"/>
      <c r="D91" s="329"/>
      <c r="E91" s="209">
        <f>SUM(E88:E90)</f>
        <v>7.1236809999999995</v>
      </c>
    </row>
    <row r="92" spans="1:5" x14ac:dyDescent="0.3">
      <c r="A92" s="206">
        <v>5655</v>
      </c>
      <c r="B92" s="220" t="s">
        <v>40</v>
      </c>
      <c r="C92" s="248" t="s">
        <v>274</v>
      </c>
      <c r="D92" s="332">
        <v>31168</v>
      </c>
      <c r="E92" s="209">
        <v>1.4714430000000001</v>
      </c>
    </row>
    <row r="93" spans="1:5" x14ac:dyDescent="0.3">
      <c r="A93" s="182"/>
      <c r="B93" s="211"/>
      <c r="C93" s="182"/>
      <c r="D93" s="139"/>
      <c r="E93" s="153">
        <f>SUM(E48,E49,E50,E51,E52,E56,E57,E58,E61,E62,E63,E64,E67,E68,E71,E74,E75,E76,E77,E80,E81,E82,E83,E84,E87,E91,E92)</f>
        <v>140.85921100000004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IBM IBD IBS Poly 2017</vt:lpstr>
      <vt:lpstr>IBM IBD IBS Harvest Data 2017</vt:lpstr>
      <vt:lpstr>IBM IBD IBS NW Poly 2018</vt:lpstr>
      <vt:lpstr>IBM IBD IBS NWHarvest Data 2018</vt:lpstr>
      <vt:lpstr>IBM IBD Poly 2019</vt:lpstr>
      <vt:lpstr>IBM IBD Harvest Data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Christianson, Dean D FLNR:EX</cp:lastModifiedBy>
  <dcterms:created xsi:type="dcterms:W3CDTF">2016-01-06T18:39:50Z</dcterms:created>
  <dcterms:modified xsi:type="dcterms:W3CDTF">2021-06-08T23:15:35Z</dcterms:modified>
</cp:coreProperties>
</file>